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alone\Box\SEE\Projects\21-096 CLC EEFCM\2025-2027 Term\EES\Effective 2027.01\Support\Exh 3 Bill Impacts\"/>
    </mc:Choice>
  </mc:AlternateContent>
  <xr:revisionPtr revIDLastSave="0" documentId="13_ncr:1_{96611D91-6837-4389-BE9E-B29DD69BEFAD}" xr6:coauthVersionLast="47" xr6:coauthVersionMax="47" xr10:uidLastSave="{00000000-0000-0000-0000-000000000000}"/>
  <bookViews>
    <workbookView xWindow="-120" yWindow="-120" windowWidth="29040" windowHeight="15720" xr2:uid="{1F3A682B-4941-4321-81CA-DB89A77ED942}"/>
  </bookViews>
  <sheets>
    <sheet name="Summary" sheetId="1" r:id="rId1"/>
    <sheet name="Detail" sheetId="2" r:id="rId2"/>
  </sheets>
  <definedNames>
    <definedName name="_xlnm._FilterDatabase" localSheetId="1" hidden="1">Detail!$A$4:$A$1271</definedName>
    <definedName name="BI2018v2019">Summary!#REF!</definedName>
    <definedName name="BI2018v2021">Summary!#REF!</definedName>
    <definedName name="BI2019v2020">Summary!#REF!</definedName>
    <definedName name="BI2020v2021">Summary!#REF!</definedName>
    <definedName name="BillPeriodA">#REF!</definedName>
    <definedName name="BillPeriodB">#REF!</definedName>
    <definedName name="calMonth">#REF!</definedName>
    <definedName name="NomDisRateYr2">#REF!</definedName>
    <definedName name="NomDisRateYr3">#REF!</definedName>
    <definedName name="_xlnm.Print_Area" localSheetId="1">Detail!$A$2:$P$730</definedName>
    <definedName name="_xlnm.Print_Area" localSheetId="0">Summary!$B$2:$I$44</definedName>
    <definedName name="reportYear">#REF!</definedName>
    <definedName name="Year1">2025</definedName>
    <definedName name="Year2">2026</definedName>
    <definedName name="Year3">2027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29" i="2" l="1"/>
  <c r="B728" i="2"/>
  <c r="B727" i="2"/>
  <c r="B726" i="2"/>
  <c r="K725" i="2"/>
  <c r="B725" i="2"/>
  <c r="K724" i="2"/>
  <c r="B724" i="2"/>
  <c r="K723" i="2"/>
  <c r="B723" i="2"/>
  <c r="K722" i="2"/>
  <c r="B722" i="2"/>
  <c r="K721" i="2"/>
  <c r="B721" i="2"/>
  <c r="K720" i="2"/>
  <c r="B720" i="2"/>
  <c r="K719" i="2"/>
  <c r="B719" i="2"/>
  <c r="K718" i="2"/>
  <c r="B718" i="2"/>
  <c r="K717" i="2"/>
  <c r="B717" i="2"/>
  <c r="K716" i="2"/>
  <c r="B716" i="2"/>
  <c r="K715" i="2"/>
  <c r="B715" i="2"/>
  <c r="K714" i="2"/>
  <c r="B714" i="2"/>
  <c r="K713" i="2"/>
  <c r="B713" i="2"/>
  <c r="K712" i="2"/>
  <c r="B712" i="2"/>
  <c r="K711" i="2"/>
  <c r="B711" i="2"/>
  <c r="K710" i="2"/>
  <c r="B710" i="2"/>
  <c r="K709" i="2"/>
  <c r="B709" i="2"/>
  <c r="K708" i="2"/>
  <c r="B708" i="2"/>
  <c r="K707" i="2"/>
  <c r="B707" i="2"/>
  <c r="K706" i="2"/>
  <c r="B706" i="2"/>
  <c r="K705" i="2"/>
  <c r="B705" i="2"/>
  <c r="K704" i="2"/>
  <c r="B704" i="2"/>
  <c r="K703" i="2"/>
  <c r="B703" i="2"/>
  <c r="K702" i="2"/>
  <c r="B702" i="2"/>
  <c r="K701" i="2"/>
  <c r="B701" i="2"/>
  <c r="K700" i="2"/>
  <c r="B700" i="2"/>
  <c r="K699" i="2"/>
  <c r="B699" i="2"/>
  <c r="K698" i="2"/>
  <c r="B698" i="2"/>
  <c r="K697" i="2"/>
  <c r="B697" i="2"/>
  <c r="B696" i="2"/>
  <c r="B695" i="2"/>
  <c r="B694" i="2"/>
  <c r="B693" i="2"/>
  <c r="B692" i="2"/>
  <c r="G691" i="2"/>
  <c r="F691" i="2"/>
  <c r="H691" i="2" s="1"/>
  <c r="B691" i="2"/>
  <c r="G690" i="2"/>
  <c r="F690" i="2"/>
  <c r="H690" i="2" s="1"/>
  <c r="B690" i="2"/>
  <c r="G689" i="2"/>
  <c r="F689" i="2"/>
  <c r="H689" i="2" s="1"/>
  <c r="B689" i="2"/>
  <c r="G688" i="2"/>
  <c r="F688" i="2"/>
  <c r="H688" i="2" s="1"/>
  <c r="B688" i="2"/>
  <c r="G687" i="2"/>
  <c r="F687" i="2"/>
  <c r="H687" i="2" s="1"/>
  <c r="B687" i="2"/>
  <c r="G686" i="2"/>
  <c r="F686" i="2"/>
  <c r="H686" i="2" s="1"/>
  <c r="B686" i="2"/>
  <c r="B685" i="2"/>
  <c r="B684" i="2"/>
  <c r="G683" i="2"/>
  <c r="F683" i="2"/>
  <c r="H683" i="2" s="1"/>
  <c r="B683" i="2"/>
  <c r="G682" i="2"/>
  <c r="F682" i="2"/>
  <c r="H682" i="2" s="1"/>
  <c r="B682" i="2"/>
  <c r="G681" i="2"/>
  <c r="F681" i="2"/>
  <c r="H681" i="2" s="1"/>
  <c r="B681" i="2"/>
  <c r="G680" i="2"/>
  <c r="F680" i="2"/>
  <c r="H680" i="2" s="1"/>
  <c r="B680" i="2"/>
  <c r="G679" i="2"/>
  <c r="F679" i="2"/>
  <c r="H679" i="2" s="1"/>
  <c r="B679" i="2"/>
  <c r="G678" i="2"/>
  <c r="F678" i="2"/>
  <c r="H678" i="2" s="1"/>
  <c r="B678" i="2"/>
  <c r="B677" i="2"/>
  <c r="B676" i="2"/>
  <c r="G675" i="2"/>
  <c r="F675" i="2"/>
  <c r="H675" i="2" s="1"/>
  <c r="B675" i="2"/>
  <c r="G674" i="2"/>
  <c r="F674" i="2"/>
  <c r="H674" i="2" s="1"/>
  <c r="B674" i="2"/>
  <c r="G673" i="2"/>
  <c r="F673" i="2"/>
  <c r="H673" i="2" s="1"/>
  <c r="B673" i="2"/>
  <c r="G672" i="2"/>
  <c r="F672" i="2"/>
  <c r="H672" i="2" s="1"/>
  <c r="B672" i="2"/>
  <c r="G671" i="2"/>
  <c r="F671" i="2"/>
  <c r="H671" i="2" s="1"/>
  <c r="B671" i="2"/>
  <c r="G670" i="2"/>
  <c r="F670" i="2"/>
  <c r="H670" i="2" s="1"/>
  <c r="B670" i="2"/>
  <c r="B669" i="2"/>
  <c r="B668" i="2"/>
  <c r="B667" i="2"/>
  <c r="N666" i="2"/>
  <c r="B666" i="2"/>
  <c r="B660" i="2"/>
  <c r="B659" i="2"/>
  <c r="B656" i="2"/>
  <c r="K655" i="2"/>
  <c r="B655" i="2"/>
  <c r="K654" i="2"/>
  <c r="B654" i="2"/>
  <c r="K653" i="2"/>
  <c r="B653" i="2"/>
  <c r="K652" i="2"/>
  <c r="B652" i="2"/>
  <c r="K651" i="2"/>
  <c r="B651" i="2"/>
  <c r="K650" i="2"/>
  <c r="B650" i="2"/>
  <c r="K649" i="2"/>
  <c r="B649" i="2"/>
  <c r="K648" i="2"/>
  <c r="B648" i="2"/>
  <c r="K647" i="2"/>
  <c r="B647" i="2"/>
  <c r="K646" i="2"/>
  <c r="B646" i="2"/>
  <c r="K645" i="2"/>
  <c r="B645" i="2"/>
  <c r="K644" i="2"/>
  <c r="B644" i="2"/>
  <c r="K643" i="2"/>
  <c r="B643" i="2"/>
  <c r="K642" i="2"/>
  <c r="B642" i="2"/>
  <c r="K641" i="2"/>
  <c r="B641" i="2"/>
  <c r="K640" i="2"/>
  <c r="B640" i="2"/>
  <c r="K639" i="2"/>
  <c r="B639" i="2"/>
  <c r="K638" i="2"/>
  <c r="B638" i="2"/>
  <c r="K637" i="2"/>
  <c r="B637" i="2"/>
  <c r="K636" i="2"/>
  <c r="B636" i="2"/>
  <c r="K635" i="2"/>
  <c r="B635" i="2"/>
  <c r="K634" i="2"/>
  <c r="B634" i="2"/>
  <c r="K633" i="2"/>
  <c r="B633" i="2"/>
  <c r="K632" i="2"/>
  <c r="B632" i="2"/>
  <c r="K631" i="2"/>
  <c r="B631" i="2"/>
  <c r="K630" i="2"/>
  <c r="B630" i="2"/>
  <c r="K629" i="2"/>
  <c r="B629" i="2"/>
  <c r="K628" i="2"/>
  <c r="B628" i="2"/>
  <c r="K627" i="2"/>
  <c r="B627" i="2"/>
  <c r="B626" i="2"/>
  <c r="B625" i="2"/>
  <c r="B624" i="2"/>
  <c r="B623" i="2"/>
  <c r="B622" i="2"/>
  <c r="G621" i="2"/>
  <c r="F621" i="2"/>
  <c r="H621" i="2" s="1"/>
  <c r="B621" i="2"/>
  <c r="G620" i="2"/>
  <c r="F620" i="2"/>
  <c r="H620" i="2" s="1"/>
  <c r="B620" i="2"/>
  <c r="G619" i="2"/>
  <c r="F619" i="2"/>
  <c r="H619" i="2" s="1"/>
  <c r="B619" i="2"/>
  <c r="G618" i="2"/>
  <c r="F618" i="2"/>
  <c r="H618" i="2" s="1"/>
  <c r="B618" i="2"/>
  <c r="G617" i="2"/>
  <c r="F617" i="2"/>
  <c r="H617" i="2" s="1"/>
  <c r="B617" i="2"/>
  <c r="G616" i="2"/>
  <c r="F616" i="2"/>
  <c r="H616" i="2" s="1"/>
  <c r="B616" i="2"/>
  <c r="B615" i="2"/>
  <c r="B614" i="2"/>
  <c r="G613" i="2"/>
  <c r="F613" i="2"/>
  <c r="H613" i="2" s="1"/>
  <c r="B613" i="2"/>
  <c r="G612" i="2"/>
  <c r="F612" i="2"/>
  <c r="H612" i="2" s="1"/>
  <c r="B612" i="2"/>
  <c r="G611" i="2"/>
  <c r="F611" i="2"/>
  <c r="H611" i="2" s="1"/>
  <c r="B611" i="2"/>
  <c r="G610" i="2"/>
  <c r="F610" i="2"/>
  <c r="H610" i="2" s="1"/>
  <c r="B610" i="2"/>
  <c r="G609" i="2"/>
  <c r="F609" i="2"/>
  <c r="H609" i="2" s="1"/>
  <c r="B609" i="2"/>
  <c r="G608" i="2"/>
  <c r="F608" i="2"/>
  <c r="H608" i="2" s="1"/>
  <c r="B608" i="2"/>
  <c r="B607" i="2"/>
  <c r="B606" i="2"/>
  <c r="G605" i="2"/>
  <c r="F605" i="2"/>
  <c r="H605" i="2" s="1"/>
  <c r="B605" i="2"/>
  <c r="G604" i="2"/>
  <c r="F604" i="2"/>
  <c r="H604" i="2" s="1"/>
  <c r="B604" i="2"/>
  <c r="G603" i="2"/>
  <c r="F603" i="2"/>
  <c r="H603" i="2" s="1"/>
  <c r="B603" i="2"/>
  <c r="G602" i="2"/>
  <c r="F602" i="2"/>
  <c r="H602" i="2" s="1"/>
  <c r="B602" i="2"/>
  <c r="G601" i="2"/>
  <c r="F601" i="2"/>
  <c r="H601" i="2" s="1"/>
  <c r="B601" i="2"/>
  <c r="G600" i="2"/>
  <c r="F600" i="2"/>
  <c r="H600" i="2" s="1"/>
  <c r="B600" i="2"/>
  <c r="B599" i="2"/>
  <c r="B598" i="2"/>
  <c r="B597" i="2"/>
  <c r="N596" i="2"/>
  <c r="B596" i="2"/>
  <c r="B590" i="2"/>
  <c r="B589" i="2"/>
  <c r="B587" i="2"/>
  <c r="D586" i="2"/>
  <c r="D585" i="2"/>
  <c r="D584" i="2"/>
  <c r="D583" i="2"/>
  <c r="D582" i="2"/>
  <c r="D581" i="2"/>
  <c r="D580" i="2"/>
  <c r="K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N527" i="2"/>
  <c r="B527" i="2"/>
  <c r="B521" i="2"/>
  <c r="B520" i="2"/>
  <c r="D517" i="2"/>
  <c r="B517" i="2"/>
  <c r="K516" i="2"/>
  <c r="B516" i="2"/>
  <c r="K515" i="2"/>
  <c r="B515" i="2"/>
  <c r="K514" i="2"/>
  <c r="B514" i="2"/>
  <c r="K513" i="2"/>
  <c r="B513" i="2"/>
  <c r="K512" i="2"/>
  <c r="B512" i="2"/>
  <c r="K511" i="2"/>
  <c r="B511" i="2"/>
  <c r="K510" i="2"/>
  <c r="B510" i="2"/>
  <c r="K509" i="2"/>
  <c r="B509" i="2"/>
  <c r="K508" i="2"/>
  <c r="B508" i="2"/>
  <c r="K507" i="2"/>
  <c r="B507" i="2"/>
  <c r="K506" i="2"/>
  <c r="B506" i="2"/>
  <c r="K505" i="2"/>
  <c r="B505" i="2"/>
  <c r="K504" i="2"/>
  <c r="B504" i="2"/>
  <c r="K503" i="2"/>
  <c r="B503" i="2"/>
  <c r="K502" i="2"/>
  <c r="B502" i="2"/>
  <c r="K501" i="2"/>
  <c r="B501" i="2"/>
  <c r="K500" i="2"/>
  <c r="B500" i="2"/>
  <c r="K499" i="2"/>
  <c r="B499" i="2"/>
  <c r="K498" i="2"/>
  <c r="B498" i="2"/>
  <c r="K497" i="2"/>
  <c r="B497" i="2"/>
  <c r="K496" i="2"/>
  <c r="B496" i="2"/>
  <c r="K495" i="2"/>
  <c r="B495" i="2"/>
  <c r="K494" i="2"/>
  <c r="B494" i="2"/>
  <c r="K493" i="2"/>
  <c r="B493" i="2"/>
  <c r="K492" i="2"/>
  <c r="B492" i="2"/>
  <c r="K491" i="2"/>
  <c r="B491" i="2"/>
  <c r="K490" i="2"/>
  <c r="B490" i="2"/>
  <c r="K489" i="2"/>
  <c r="B489" i="2"/>
  <c r="B488" i="2"/>
  <c r="B487" i="2"/>
  <c r="B486" i="2"/>
  <c r="B485" i="2"/>
  <c r="B484" i="2"/>
  <c r="E483" i="2"/>
  <c r="F483" i="2" s="1"/>
  <c r="B483" i="2"/>
  <c r="E482" i="2"/>
  <c r="F482" i="2" s="1"/>
  <c r="B482" i="2"/>
  <c r="E481" i="2"/>
  <c r="F481" i="2" s="1"/>
  <c r="B481" i="2"/>
  <c r="E480" i="2"/>
  <c r="F480" i="2" s="1"/>
  <c r="B480" i="2"/>
  <c r="E479" i="2"/>
  <c r="F479" i="2" s="1"/>
  <c r="B479" i="2"/>
  <c r="E478" i="2"/>
  <c r="F478" i="2" s="1"/>
  <c r="B478" i="2"/>
  <c r="E477" i="2"/>
  <c r="F477" i="2" s="1"/>
  <c r="B477" i="2"/>
  <c r="E476" i="2"/>
  <c r="F476" i="2" s="1"/>
  <c r="B476" i="2"/>
  <c r="B475" i="2"/>
  <c r="B474" i="2"/>
  <c r="E473" i="2"/>
  <c r="F473" i="2" s="1"/>
  <c r="B473" i="2"/>
  <c r="E472" i="2"/>
  <c r="F472" i="2" s="1"/>
  <c r="B472" i="2"/>
  <c r="E471" i="2"/>
  <c r="F471" i="2" s="1"/>
  <c r="B471" i="2"/>
  <c r="E470" i="2"/>
  <c r="F470" i="2" s="1"/>
  <c r="B470" i="2"/>
  <c r="E469" i="2"/>
  <c r="F469" i="2" s="1"/>
  <c r="B469" i="2"/>
  <c r="E468" i="2"/>
  <c r="F468" i="2" s="1"/>
  <c r="B468" i="2"/>
  <c r="E467" i="2"/>
  <c r="F467" i="2" s="1"/>
  <c r="B467" i="2"/>
  <c r="E466" i="2"/>
  <c r="F466" i="2" s="1"/>
  <c r="B466" i="2"/>
  <c r="B465" i="2"/>
  <c r="B464" i="2"/>
  <c r="E463" i="2"/>
  <c r="F463" i="2" s="1"/>
  <c r="B463" i="2"/>
  <c r="E462" i="2"/>
  <c r="F462" i="2" s="1"/>
  <c r="B462" i="2"/>
  <c r="E461" i="2"/>
  <c r="F461" i="2" s="1"/>
  <c r="B461" i="2"/>
  <c r="E460" i="2"/>
  <c r="F460" i="2" s="1"/>
  <c r="B460" i="2"/>
  <c r="E459" i="2"/>
  <c r="F459" i="2" s="1"/>
  <c r="B459" i="2"/>
  <c r="E458" i="2"/>
  <c r="F458" i="2" s="1"/>
  <c r="B458" i="2"/>
  <c r="E457" i="2"/>
  <c r="F457" i="2" s="1"/>
  <c r="B457" i="2"/>
  <c r="E456" i="2"/>
  <c r="F456" i="2" s="1"/>
  <c r="B456" i="2"/>
  <c r="B455" i="2"/>
  <c r="B454" i="2"/>
  <c r="B453" i="2"/>
  <c r="N452" i="2"/>
  <c r="B452" i="2"/>
  <c r="B446" i="2"/>
  <c r="B445" i="2"/>
  <c r="B442" i="2"/>
  <c r="J441" i="2"/>
  <c r="B441" i="2"/>
  <c r="J440" i="2"/>
  <c r="B440" i="2"/>
  <c r="J439" i="2"/>
  <c r="B439" i="2"/>
  <c r="J438" i="2"/>
  <c r="B438" i="2"/>
  <c r="J437" i="2"/>
  <c r="B437" i="2"/>
  <c r="J436" i="2"/>
  <c r="B436" i="2"/>
  <c r="J435" i="2"/>
  <c r="B435" i="2"/>
  <c r="J434" i="2"/>
  <c r="B434" i="2"/>
  <c r="B433" i="2"/>
  <c r="J432" i="2"/>
  <c r="B432" i="2"/>
  <c r="J431" i="2"/>
  <c r="B431" i="2"/>
  <c r="J430" i="2"/>
  <c r="B430" i="2"/>
  <c r="J429" i="2"/>
  <c r="B429" i="2"/>
  <c r="J428" i="2"/>
  <c r="B428" i="2"/>
  <c r="J427" i="2"/>
  <c r="B427" i="2"/>
  <c r="J426" i="2"/>
  <c r="B426" i="2"/>
  <c r="J425" i="2"/>
  <c r="B425" i="2"/>
  <c r="J424" i="2"/>
  <c r="B424" i="2"/>
  <c r="J423" i="2"/>
  <c r="B423" i="2"/>
  <c r="J422" i="2"/>
  <c r="B422" i="2"/>
  <c r="J421" i="2"/>
  <c r="B421" i="2"/>
  <c r="J420" i="2"/>
  <c r="B420" i="2"/>
  <c r="J419" i="2"/>
  <c r="B419" i="2"/>
  <c r="J418" i="2"/>
  <c r="B418" i="2"/>
  <c r="J417" i="2"/>
  <c r="B417" i="2"/>
  <c r="J416" i="2"/>
  <c r="B416" i="2"/>
  <c r="J415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O398" i="2"/>
  <c r="N398" i="2"/>
  <c r="L398" i="2"/>
  <c r="K398" i="2"/>
  <c r="J398" i="2"/>
  <c r="H398" i="2"/>
  <c r="G398" i="2"/>
  <c r="F398" i="2"/>
  <c r="B398" i="2"/>
  <c r="N397" i="2"/>
  <c r="B397" i="2"/>
  <c r="B391" i="2"/>
  <c r="B390" i="2"/>
  <c r="J387" i="2"/>
  <c r="D387" i="2"/>
  <c r="B387" i="2"/>
  <c r="B386" i="2"/>
  <c r="J385" i="2"/>
  <c r="B385" i="2"/>
  <c r="J384" i="2"/>
  <c r="B384" i="2"/>
  <c r="J383" i="2"/>
  <c r="B383" i="2"/>
  <c r="J382" i="2"/>
  <c r="B382" i="2"/>
  <c r="J381" i="2"/>
  <c r="B381" i="2"/>
  <c r="J380" i="2"/>
  <c r="B380" i="2"/>
  <c r="J379" i="2"/>
  <c r="B379" i="2"/>
  <c r="J378" i="2"/>
  <c r="B378" i="2"/>
  <c r="J377" i="2"/>
  <c r="B377" i="2"/>
  <c r="J376" i="2"/>
  <c r="B376" i="2"/>
  <c r="J375" i="2"/>
  <c r="B375" i="2"/>
  <c r="J374" i="2"/>
  <c r="B374" i="2"/>
  <c r="J373" i="2"/>
  <c r="B373" i="2"/>
  <c r="J372" i="2"/>
  <c r="B372" i="2"/>
  <c r="J371" i="2"/>
  <c r="B371" i="2"/>
  <c r="J370" i="2"/>
  <c r="B370" i="2"/>
  <c r="J369" i="2"/>
  <c r="B369" i="2"/>
  <c r="J368" i="2"/>
  <c r="B368" i="2"/>
  <c r="J367" i="2"/>
  <c r="B367" i="2"/>
  <c r="J366" i="2"/>
  <c r="B366" i="2"/>
  <c r="J365" i="2"/>
  <c r="B365" i="2"/>
  <c r="J364" i="2"/>
  <c r="B364" i="2"/>
  <c r="J363" i="2"/>
  <c r="B363" i="2"/>
  <c r="J362" i="2"/>
  <c r="B362" i="2"/>
  <c r="J361" i="2"/>
  <c r="B361" i="2"/>
  <c r="J360" i="2"/>
  <c r="B360" i="2"/>
  <c r="J359" i="2"/>
  <c r="B359" i="2"/>
  <c r="B358" i="2"/>
  <c r="B357" i="2"/>
  <c r="B356" i="2"/>
  <c r="B355" i="2"/>
  <c r="B354" i="2"/>
  <c r="G353" i="2"/>
  <c r="F353" i="2"/>
  <c r="H353" i="2" s="1"/>
  <c r="B353" i="2"/>
  <c r="G352" i="2"/>
  <c r="F352" i="2"/>
  <c r="H352" i="2" s="1"/>
  <c r="B352" i="2"/>
  <c r="G351" i="2"/>
  <c r="F351" i="2"/>
  <c r="H351" i="2" s="1"/>
  <c r="B351" i="2"/>
  <c r="G350" i="2"/>
  <c r="F350" i="2"/>
  <c r="H350" i="2" s="1"/>
  <c r="B350" i="2"/>
  <c r="G349" i="2"/>
  <c r="F349" i="2"/>
  <c r="H349" i="2" s="1"/>
  <c r="B349" i="2"/>
  <c r="G348" i="2"/>
  <c r="F348" i="2"/>
  <c r="H348" i="2" s="1"/>
  <c r="B348" i="2"/>
  <c r="G347" i="2"/>
  <c r="F347" i="2"/>
  <c r="H347" i="2" s="1"/>
  <c r="B347" i="2"/>
  <c r="G346" i="2"/>
  <c r="F346" i="2"/>
  <c r="H346" i="2" s="1"/>
  <c r="B346" i="2"/>
  <c r="G345" i="2"/>
  <c r="F345" i="2"/>
  <c r="H345" i="2" s="1"/>
  <c r="B345" i="2"/>
  <c r="G344" i="2"/>
  <c r="F344" i="2"/>
  <c r="H344" i="2" s="1"/>
  <c r="B344" i="2"/>
  <c r="G343" i="2"/>
  <c r="F343" i="2"/>
  <c r="H343" i="2" s="1"/>
  <c r="B343" i="2"/>
  <c r="G342" i="2"/>
  <c r="F342" i="2"/>
  <c r="H342" i="2" s="1"/>
  <c r="B342" i="2"/>
  <c r="G341" i="2"/>
  <c r="F341" i="2"/>
  <c r="H341" i="2" s="1"/>
  <c r="B341" i="2"/>
  <c r="G340" i="2"/>
  <c r="F340" i="2"/>
  <c r="H340" i="2" s="1"/>
  <c r="B340" i="2"/>
  <c r="O339" i="2"/>
  <c r="N339" i="2"/>
  <c r="L339" i="2"/>
  <c r="K339" i="2"/>
  <c r="J339" i="2"/>
  <c r="H339" i="2"/>
  <c r="G339" i="2"/>
  <c r="F339" i="2"/>
  <c r="B339" i="2"/>
  <c r="N338" i="2"/>
  <c r="B338" i="2"/>
  <c r="B332" i="2"/>
  <c r="B331" i="2"/>
  <c r="B328" i="2"/>
  <c r="J327" i="2"/>
  <c r="B327" i="2"/>
  <c r="J326" i="2"/>
  <c r="B326" i="2"/>
  <c r="J325" i="2"/>
  <c r="B325" i="2"/>
  <c r="J324" i="2"/>
  <c r="B324" i="2"/>
  <c r="J323" i="2"/>
  <c r="B323" i="2"/>
  <c r="J322" i="2"/>
  <c r="B322" i="2"/>
  <c r="J321" i="2"/>
  <c r="B321" i="2"/>
  <c r="J320" i="2"/>
  <c r="B320" i="2"/>
  <c r="J319" i="2"/>
  <c r="B319" i="2"/>
  <c r="J318" i="2"/>
  <c r="B318" i="2"/>
  <c r="J317" i="2"/>
  <c r="B317" i="2"/>
  <c r="J316" i="2"/>
  <c r="B316" i="2"/>
  <c r="J315" i="2"/>
  <c r="B315" i="2"/>
  <c r="J314" i="2"/>
  <c r="B314" i="2"/>
  <c r="J313" i="2"/>
  <c r="B313" i="2"/>
  <c r="J312" i="2"/>
  <c r="B312" i="2"/>
  <c r="J311" i="2"/>
  <c r="B311" i="2"/>
  <c r="J310" i="2"/>
  <c r="B310" i="2"/>
  <c r="J309" i="2"/>
  <c r="B309" i="2"/>
  <c r="J308" i="2"/>
  <c r="B308" i="2"/>
  <c r="J307" i="2"/>
  <c r="B307" i="2"/>
  <c r="J306" i="2"/>
  <c r="B306" i="2"/>
  <c r="J305" i="2"/>
  <c r="B305" i="2"/>
  <c r="J304" i="2"/>
  <c r="B304" i="2"/>
  <c r="J303" i="2"/>
  <c r="B303" i="2"/>
  <c r="J302" i="2"/>
  <c r="B302" i="2"/>
  <c r="J301" i="2"/>
  <c r="B301" i="2"/>
  <c r="B300" i="2"/>
  <c r="B299" i="2"/>
  <c r="B298" i="2"/>
  <c r="B297" i="2"/>
  <c r="B296" i="2"/>
  <c r="G295" i="2"/>
  <c r="F295" i="2"/>
  <c r="H295" i="2" s="1"/>
  <c r="B295" i="2"/>
  <c r="G294" i="2"/>
  <c r="F294" i="2"/>
  <c r="H294" i="2" s="1"/>
  <c r="B294" i="2"/>
  <c r="G293" i="2"/>
  <c r="F293" i="2"/>
  <c r="H293" i="2" s="1"/>
  <c r="B293" i="2"/>
  <c r="G292" i="2"/>
  <c r="F292" i="2"/>
  <c r="H292" i="2" s="1"/>
  <c r="B292" i="2"/>
  <c r="G291" i="2"/>
  <c r="F291" i="2"/>
  <c r="H291" i="2" s="1"/>
  <c r="B291" i="2"/>
  <c r="G290" i="2"/>
  <c r="F290" i="2"/>
  <c r="H290" i="2" s="1"/>
  <c r="B290" i="2"/>
  <c r="G289" i="2"/>
  <c r="F289" i="2"/>
  <c r="H289" i="2" s="1"/>
  <c r="B289" i="2"/>
  <c r="G288" i="2"/>
  <c r="F288" i="2"/>
  <c r="H288" i="2" s="1"/>
  <c r="B288" i="2"/>
  <c r="G287" i="2"/>
  <c r="F287" i="2"/>
  <c r="H287" i="2" s="1"/>
  <c r="B287" i="2"/>
  <c r="G286" i="2"/>
  <c r="F286" i="2"/>
  <c r="H286" i="2" s="1"/>
  <c r="B286" i="2"/>
  <c r="G285" i="2"/>
  <c r="B285" i="2"/>
  <c r="B284" i="2"/>
  <c r="B283" i="2"/>
  <c r="B282" i="2"/>
  <c r="O281" i="2"/>
  <c r="N281" i="2"/>
  <c r="L281" i="2"/>
  <c r="K281" i="2"/>
  <c r="J281" i="2"/>
  <c r="H281" i="2"/>
  <c r="G281" i="2"/>
  <c r="F281" i="2"/>
  <c r="B281" i="2"/>
  <c r="N280" i="2"/>
  <c r="B280" i="2"/>
  <c r="B274" i="2"/>
  <c r="B273" i="2"/>
  <c r="J270" i="2"/>
  <c r="B270" i="2"/>
  <c r="B269" i="2"/>
  <c r="J268" i="2"/>
  <c r="B268" i="2"/>
  <c r="J267" i="2"/>
  <c r="B267" i="2"/>
  <c r="J266" i="2"/>
  <c r="B266" i="2"/>
  <c r="J265" i="2"/>
  <c r="B265" i="2"/>
  <c r="J264" i="2"/>
  <c r="B264" i="2"/>
  <c r="J263" i="2"/>
  <c r="B263" i="2"/>
  <c r="J262" i="2"/>
  <c r="B262" i="2"/>
  <c r="J261" i="2"/>
  <c r="B261" i="2"/>
  <c r="J260" i="2"/>
  <c r="B260" i="2"/>
  <c r="J259" i="2"/>
  <c r="B259" i="2"/>
  <c r="J258" i="2"/>
  <c r="B258" i="2"/>
  <c r="J257" i="2"/>
  <c r="B257" i="2"/>
  <c r="J256" i="2"/>
  <c r="B256" i="2"/>
  <c r="J255" i="2"/>
  <c r="B255" i="2"/>
  <c r="J254" i="2"/>
  <c r="B254" i="2"/>
  <c r="J253" i="2"/>
  <c r="B253" i="2"/>
  <c r="J252" i="2"/>
  <c r="B252" i="2"/>
  <c r="J251" i="2"/>
  <c r="B251" i="2"/>
  <c r="J250" i="2"/>
  <c r="B250" i="2"/>
  <c r="J249" i="2"/>
  <c r="B249" i="2"/>
  <c r="J248" i="2"/>
  <c r="B248" i="2"/>
  <c r="J247" i="2"/>
  <c r="B247" i="2"/>
  <c r="J246" i="2"/>
  <c r="B246" i="2"/>
  <c r="J245" i="2"/>
  <c r="B245" i="2"/>
  <c r="J244" i="2"/>
  <c r="B244" i="2"/>
  <c r="J243" i="2"/>
  <c r="B243" i="2"/>
  <c r="J242" i="2"/>
  <c r="B242" i="2"/>
  <c r="J241" i="2"/>
  <c r="B241" i="2"/>
  <c r="J240" i="2"/>
  <c r="B240" i="2"/>
  <c r="B239" i="2"/>
  <c r="B238" i="2"/>
  <c r="B237" i="2"/>
  <c r="B236" i="2"/>
  <c r="G235" i="2"/>
  <c r="F235" i="2"/>
  <c r="H235" i="2" s="1"/>
  <c r="B235" i="2"/>
  <c r="G234" i="2"/>
  <c r="F234" i="2"/>
  <c r="H234" i="2" s="1"/>
  <c r="B234" i="2"/>
  <c r="G233" i="2"/>
  <c r="F233" i="2"/>
  <c r="H233" i="2" s="1"/>
  <c r="B233" i="2"/>
  <c r="G232" i="2"/>
  <c r="F232" i="2"/>
  <c r="H232" i="2" s="1"/>
  <c r="B232" i="2"/>
  <c r="G231" i="2"/>
  <c r="F231" i="2"/>
  <c r="H231" i="2" s="1"/>
  <c r="B231" i="2"/>
  <c r="G230" i="2"/>
  <c r="F230" i="2"/>
  <c r="H230" i="2" s="1"/>
  <c r="B230" i="2"/>
  <c r="G229" i="2"/>
  <c r="F229" i="2"/>
  <c r="H229" i="2" s="1"/>
  <c r="B229" i="2"/>
  <c r="G228" i="2"/>
  <c r="F228" i="2"/>
  <c r="H228" i="2" s="1"/>
  <c r="B228" i="2"/>
  <c r="G227" i="2"/>
  <c r="F227" i="2"/>
  <c r="H227" i="2" s="1"/>
  <c r="B227" i="2"/>
  <c r="G226" i="2"/>
  <c r="F226" i="2"/>
  <c r="H226" i="2" s="1"/>
  <c r="B226" i="2"/>
  <c r="G225" i="2"/>
  <c r="F225" i="2"/>
  <c r="H225" i="2" s="1"/>
  <c r="B225" i="2"/>
  <c r="G224" i="2"/>
  <c r="F224" i="2"/>
  <c r="H224" i="2" s="1"/>
  <c r="B224" i="2"/>
  <c r="G223" i="2"/>
  <c r="F223" i="2"/>
  <c r="H223" i="2" s="1"/>
  <c r="B223" i="2"/>
  <c r="G222" i="2"/>
  <c r="F222" i="2"/>
  <c r="H222" i="2" s="1"/>
  <c r="B222" i="2"/>
  <c r="B221" i="2"/>
  <c r="N220" i="2"/>
  <c r="J220" i="2"/>
  <c r="F220" i="2"/>
  <c r="B220" i="2"/>
  <c r="B219" i="2"/>
  <c r="G218" i="2"/>
  <c r="F218" i="2"/>
  <c r="H218" i="2" s="1"/>
  <c r="B218" i="2"/>
  <c r="G217" i="2"/>
  <c r="F217" i="2"/>
  <c r="H217" i="2" s="1"/>
  <c r="B217" i="2"/>
  <c r="G216" i="2"/>
  <c r="F216" i="2"/>
  <c r="H216" i="2" s="1"/>
  <c r="B216" i="2"/>
  <c r="G215" i="2"/>
  <c r="F215" i="2"/>
  <c r="H215" i="2" s="1"/>
  <c r="B215" i="2"/>
  <c r="G214" i="2"/>
  <c r="F214" i="2"/>
  <c r="H214" i="2" s="1"/>
  <c r="B214" i="2"/>
  <c r="G213" i="2"/>
  <c r="F213" i="2"/>
  <c r="H213" i="2" s="1"/>
  <c r="B213" i="2"/>
  <c r="G212" i="2"/>
  <c r="F212" i="2"/>
  <c r="H212" i="2" s="1"/>
  <c r="B212" i="2"/>
  <c r="G211" i="2"/>
  <c r="F211" i="2"/>
  <c r="H211" i="2" s="1"/>
  <c r="B211" i="2"/>
  <c r="G210" i="2"/>
  <c r="F210" i="2"/>
  <c r="H210" i="2" s="1"/>
  <c r="B210" i="2"/>
  <c r="G209" i="2"/>
  <c r="F209" i="2"/>
  <c r="H209" i="2" s="1"/>
  <c r="B209" i="2"/>
  <c r="G208" i="2"/>
  <c r="F208" i="2"/>
  <c r="H208" i="2" s="1"/>
  <c r="B208" i="2"/>
  <c r="G207" i="2"/>
  <c r="F207" i="2"/>
  <c r="H207" i="2" s="1"/>
  <c r="B207" i="2"/>
  <c r="G206" i="2"/>
  <c r="F206" i="2"/>
  <c r="H206" i="2" s="1"/>
  <c r="B206" i="2"/>
  <c r="G205" i="2"/>
  <c r="F205" i="2"/>
  <c r="H205" i="2" s="1"/>
  <c r="B205" i="2"/>
  <c r="B204" i="2"/>
  <c r="N203" i="2"/>
  <c r="J203" i="2"/>
  <c r="F203" i="2"/>
  <c r="B203" i="2"/>
  <c r="J193" i="2"/>
  <c r="B193" i="2"/>
  <c r="B192" i="2"/>
  <c r="J191" i="2"/>
  <c r="B191" i="2"/>
  <c r="J190" i="2"/>
  <c r="B190" i="2"/>
  <c r="J189" i="2"/>
  <c r="B189" i="2"/>
  <c r="J188" i="2"/>
  <c r="B188" i="2"/>
  <c r="J187" i="2"/>
  <c r="B187" i="2"/>
  <c r="J186" i="2"/>
  <c r="B186" i="2"/>
  <c r="J185" i="2"/>
  <c r="B185" i="2"/>
  <c r="J184" i="2"/>
  <c r="B184" i="2"/>
  <c r="J183" i="2"/>
  <c r="B183" i="2"/>
  <c r="J182" i="2"/>
  <c r="B182" i="2"/>
  <c r="J181" i="2"/>
  <c r="B181" i="2"/>
  <c r="J180" i="2"/>
  <c r="B180" i="2"/>
  <c r="J179" i="2"/>
  <c r="B179" i="2"/>
  <c r="J178" i="2"/>
  <c r="B178" i="2"/>
  <c r="J177" i="2"/>
  <c r="B177" i="2"/>
  <c r="J176" i="2"/>
  <c r="B176" i="2"/>
  <c r="J175" i="2"/>
  <c r="B175" i="2"/>
  <c r="J174" i="2"/>
  <c r="B174" i="2"/>
  <c r="J173" i="2"/>
  <c r="B173" i="2"/>
  <c r="J172" i="2"/>
  <c r="B172" i="2"/>
  <c r="J171" i="2"/>
  <c r="B171" i="2"/>
  <c r="J170" i="2"/>
  <c r="B170" i="2"/>
  <c r="J169" i="2"/>
  <c r="B169" i="2"/>
  <c r="J168" i="2"/>
  <c r="B168" i="2"/>
  <c r="J167" i="2"/>
  <c r="B167" i="2"/>
  <c r="J166" i="2"/>
  <c r="B166" i="2"/>
  <c r="J165" i="2"/>
  <c r="B165" i="2"/>
  <c r="B164" i="2"/>
  <c r="B163" i="2"/>
  <c r="B162" i="2"/>
  <c r="B161" i="2"/>
  <c r="B160" i="2"/>
  <c r="G159" i="2"/>
  <c r="F159" i="2"/>
  <c r="H159" i="2" s="1"/>
  <c r="B159" i="2"/>
  <c r="G158" i="2"/>
  <c r="F158" i="2"/>
  <c r="H158" i="2" s="1"/>
  <c r="B158" i="2"/>
  <c r="G157" i="2"/>
  <c r="F157" i="2"/>
  <c r="H157" i="2" s="1"/>
  <c r="B157" i="2"/>
  <c r="G156" i="2"/>
  <c r="F156" i="2"/>
  <c r="H156" i="2" s="1"/>
  <c r="B156" i="2"/>
  <c r="G155" i="2"/>
  <c r="F155" i="2"/>
  <c r="H155" i="2" s="1"/>
  <c r="B155" i="2"/>
  <c r="G154" i="2"/>
  <c r="F154" i="2"/>
  <c r="H154" i="2" s="1"/>
  <c r="B154" i="2"/>
  <c r="G153" i="2"/>
  <c r="F153" i="2"/>
  <c r="H153" i="2" s="1"/>
  <c r="B153" i="2"/>
  <c r="G152" i="2"/>
  <c r="F152" i="2"/>
  <c r="H152" i="2" s="1"/>
  <c r="B152" i="2"/>
  <c r="G151" i="2"/>
  <c r="F151" i="2"/>
  <c r="H151" i="2" s="1"/>
  <c r="B151" i="2"/>
  <c r="G150" i="2"/>
  <c r="F150" i="2"/>
  <c r="H150" i="2" s="1"/>
  <c r="B150" i="2"/>
  <c r="G149" i="2"/>
  <c r="F149" i="2"/>
  <c r="H149" i="2" s="1"/>
  <c r="B149" i="2"/>
  <c r="G148" i="2"/>
  <c r="F148" i="2"/>
  <c r="H148" i="2" s="1"/>
  <c r="B148" i="2"/>
  <c r="G147" i="2"/>
  <c r="F147" i="2"/>
  <c r="H147" i="2" s="1"/>
  <c r="B147" i="2"/>
  <c r="G146" i="2"/>
  <c r="F146" i="2"/>
  <c r="H146" i="2" s="1"/>
  <c r="B146" i="2"/>
  <c r="O145" i="2"/>
  <c r="N145" i="2"/>
  <c r="L145" i="2"/>
  <c r="K145" i="2"/>
  <c r="J145" i="2"/>
  <c r="H145" i="2"/>
  <c r="G145" i="2"/>
  <c r="F145" i="2"/>
  <c r="B145" i="2"/>
  <c r="N144" i="2"/>
  <c r="B144" i="2"/>
  <c r="B138" i="2"/>
  <c r="B137" i="2"/>
  <c r="B134" i="2"/>
  <c r="J133" i="2"/>
  <c r="B133" i="2"/>
  <c r="J132" i="2"/>
  <c r="B132" i="2"/>
  <c r="J131" i="2"/>
  <c r="B131" i="2"/>
  <c r="J130" i="2"/>
  <c r="B130" i="2"/>
  <c r="J129" i="2"/>
  <c r="B129" i="2"/>
  <c r="J128" i="2"/>
  <c r="B128" i="2"/>
  <c r="J127" i="2"/>
  <c r="B127" i="2"/>
  <c r="J126" i="2"/>
  <c r="B126" i="2"/>
  <c r="J125" i="2"/>
  <c r="B125" i="2"/>
  <c r="J124" i="2"/>
  <c r="B124" i="2"/>
  <c r="J123" i="2"/>
  <c r="B123" i="2"/>
  <c r="J122" i="2"/>
  <c r="B122" i="2"/>
  <c r="J121" i="2"/>
  <c r="B121" i="2"/>
  <c r="J120" i="2"/>
  <c r="B120" i="2"/>
  <c r="J119" i="2"/>
  <c r="B119" i="2"/>
  <c r="J118" i="2"/>
  <c r="B118" i="2"/>
  <c r="J117" i="2"/>
  <c r="B117" i="2"/>
  <c r="J116" i="2"/>
  <c r="B116" i="2"/>
  <c r="J115" i="2"/>
  <c r="B115" i="2"/>
  <c r="J114" i="2"/>
  <c r="B114" i="2"/>
  <c r="J113" i="2"/>
  <c r="B113" i="2"/>
  <c r="J112" i="2"/>
  <c r="B112" i="2"/>
  <c r="J111" i="2"/>
  <c r="B111" i="2"/>
  <c r="J110" i="2"/>
  <c r="B110" i="2"/>
  <c r="J109" i="2"/>
  <c r="B109" i="2"/>
  <c r="J108" i="2"/>
  <c r="B108" i="2"/>
  <c r="J107" i="2"/>
  <c r="B107" i="2"/>
  <c r="J106" i="2"/>
  <c r="B106" i="2"/>
  <c r="J105" i="2"/>
  <c r="B105" i="2"/>
  <c r="B104" i="2"/>
  <c r="B103" i="2"/>
  <c r="B102" i="2"/>
  <c r="B101" i="2"/>
  <c r="G100" i="2"/>
  <c r="F100" i="2"/>
  <c r="H100" i="2" s="1"/>
  <c r="B100" i="2"/>
  <c r="G99" i="2"/>
  <c r="F99" i="2"/>
  <c r="H99" i="2" s="1"/>
  <c r="B99" i="2"/>
  <c r="G98" i="2"/>
  <c r="F98" i="2"/>
  <c r="H98" i="2" s="1"/>
  <c r="B98" i="2"/>
  <c r="G97" i="2"/>
  <c r="F97" i="2"/>
  <c r="H97" i="2" s="1"/>
  <c r="B97" i="2"/>
  <c r="G96" i="2"/>
  <c r="F96" i="2"/>
  <c r="H96" i="2" s="1"/>
  <c r="B96" i="2"/>
  <c r="G95" i="2"/>
  <c r="F95" i="2"/>
  <c r="H95" i="2" s="1"/>
  <c r="B95" i="2"/>
  <c r="G94" i="2"/>
  <c r="F94" i="2"/>
  <c r="H94" i="2" s="1"/>
  <c r="B94" i="2"/>
  <c r="G93" i="2"/>
  <c r="F93" i="2"/>
  <c r="H93" i="2" s="1"/>
  <c r="B93" i="2"/>
  <c r="G92" i="2"/>
  <c r="F92" i="2"/>
  <c r="H92" i="2" s="1"/>
  <c r="B92" i="2"/>
  <c r="G91" i="2"/>
  <c r="F91" i="2"/>
  <c r="H91" i="2" s="1"/>
  <c r="B91" i="2"/>
  <c r="G90" i="2"/>
  <c r="F90" i="2"/>
  <c r="H90" i="2" s="1"/>
  <c r="B90" i="2"/>
  <c r="G89" i="2"/>
  <c r="F89" i="2"/>
  <c r="H89" i="2" s="1"/>
  <c r="B89" i="2"/>
  <c r="G88" i="2"/>
  <c r="F88" i="2"/>
  <c r="H88" i="2" s="1"/>
  <c r="B88" i="2"/>
  <c r="G87" i="2"/>
  <c r="F87" i="2"/>
  <c r="H87" i="2" s="1"/>
  <c r="B87" i="2"/>
  <c r="B86" i="2"/>
  <c r="N85" i="2"/>
  <c r="B85" i="2"/>
  <c r="B84" i="2"/>
  <c r="G83" i="2"/>
  <c r="F83" i="2"/>
  <c r="H83" i="2" s="1"/>
  <c r="B83" i="2"/>
  <c r="G82" i="2"/>
  <c r="F82" i="2"/>
  <c r="H82" i="2" s="1"/>
  <c r="B82" i="2"/>
  <c r="G81" i="2"/>
  <c r="F81" i="2"/>
  <c r="H81" i="2" s="1"/>
  <c r="B81" i="2"/>
  <c r="G80" i="2"/>
  <c r="F80" i="2"/>
  <c r="H80" i="2" s="1"/>
  <c r="B80" i="2"/>
  <c r="G79" i="2"/>
  <c r="F79" i="2"/>
  <c r="H79" i="2" s="1"/>
  <c r="B79" i="2"/>
  <c r="G78" i="2"/>
  <c r="F78" i="2"/>
  <c r="H78" i="2" s="1"/>
  <c r="B78" i="2"/>
  <c r="G77" i="2"/>
  <c r="F77" i="2"/>
  <c r="H77" i="2" s="1"/>
  <c r="B77" i="2"/>
  <c r="G76" i="2"/>
  <c r="F76" i="2"/>
  <c r="H76" i="2" s="1"/>
  <c r="B76" i="2"/>
  <c r="G75" i="2"/>
  <c r="F75" i="2"/>
  <c r="H75" i="2" s="1"/>
  <c r="B75" i="2"/>
  <c r="G74" i="2"/>
  <c r="F74" i="2"/>
  <c r="H74" i="2" s="1"/>
  <c r="B74" i="2"/>
  <c r="G73" i="2"/>
  <c r="F73" i="2"/>
  <c r="H73" i="2" s="1"/>
  <c r="B73" i="2"/>
  <c r="G72" i="2"/>
  <c r="F72" i="2"/>
  <c r="H72" i="2" s="1"/>
  <c r="B72" i="2"/>
  <c r="G71" i="2"/>
  <c r="F71" i="2"/>
  <c r="H71" i="2" s="1"/>
  <c r="B71" i="2"/>
  <c r="G70" i="2"/>
  <c r="F70" i="2"/>
  <c r="H70" i="2" s="1"/>
  <c r="B70" i="2"/>
  <c r="B69" i="2"/>
  <c r="N68" i="2"/>
  <c r="B68" i="2"/>
  <c r="B58" i="2"/>
  <c r="J57" i="2"/>
  <c r="B57" i="2"/>
  <c r="J56" i="2"/>
  <c r="B56" i="2"/>
  <c r="J55" i="2"/>
  <c r="B55" i="2"/>
  <c r="J54" i="2"/>
  <c r="B54" i="2"/>
  <c r="J53" i="2"/>
  <c r="B53" i="2"/>
  <c r="J52" i="2"/>
  <c r="B52" i="2"/>
  <c r="J51" i="2"/>
  <c r="B51" i="2"/>
  <c r="J50" i="2"/>
  <c r="B50" i="2"/>
  <c r="J49" i="2"/>
  <c r="B49" i="2"/>
  <c r="J48" i="2"/>
  <c r="B48" i="2"/>
  <c r="J47" i="2"/>
  <c r="B47" i="2"/>
  <c r="J46" i="2"/>
  <c r="B46" i="2"/>
  <c r="J45" i="2"/>
  <c r="B45" i="2"/>
  <c r="J44" i="2"/>
  <c r="B44" i="2"/>
  <c r="J43" i="2"/>
  <c r="B43" i="2"/>
  <c r="J42" i="2"/>
  <c r="B42" i="2"/>
  <c r="J41" i="2"/>
  <c r="B41" i="2"/>
  <c r="J40" i="2"/>
  <c r="B40" i="2"/>
  <c r="J39" i="2"/>
  <c r="B39" i="2"/>
  <c r="J38" i="2"/>
  <c r="B38" i="2"/>
  <c r="J37" i="2"/>
  <c r="B37" i="2"/>
  <c r="J36" i="2"/>
  <c r="B36" i="2"/>
  <c r="J35" i="2"/>
  <c r="B35" i="2"/>
  <c r="J34" i="2"/>
  <c r="B34" i="2"/>
  <c r="J33" i="2"/>
  <c r="B33" i="2"/>
  <c r="J32" i="2"/>
  <c r="B32" i="2"/>
  <c r="J31" i="2"/>
  <c r="B31" i="2"/>
  <c r="B30" i="2"/>
  <c r="B29" i="2"/>
  <c r="B28" i="2"/>
  <c r="B27" i="2"/>
  <c r="B26" i="2"/>
  <c r="G25" i="2"/>
  <c r="F25" i="2"/>
  <c r="H25" i="2" s="1"/>
  <c r="B25" i="2"/>
  <c r="G24" i="2"/>
  <c r="F24" i="2"/>
  <c r="H24" i="2" s="1"/>
  <c r="B24" i="2"/>
  <c r="G23" i="2"/>
  <c r="F23" i="2"/>
  <c r="H23" i="2" s="1"/>
  <c r="B23" i="2"/>
  <c r="G22" i="2"/>
  <c r="F22" i="2"/>
  <c r="H22" i="2" s="1"/>
  <c r="B22" i="2"/>
  <c r="G21" i="2"/>
  <c r="F21" i="2"/>
  <c r="H21" i="2" s="1"/>
  <c r="B21" i="2"/>
  <c r="G20" i="2"/>
  <c r="F20" i="2"/>
  <c r="H20" i="2" s="1"/>
  <c r="B20" i="2"/>
  <c r="G19" i="2"/>
  <c r="F19" i="2"/>
  <c r="H19" i="2" s="1"/>
  <c r="B19" i="2"/>
  <c r="G18" i="2"/>
  <c r="F18" i="2"/>
  <c r="H18" i="2" s="1"/>
  <c r="B18" i="2"/>
  <c r="G17" i="2"/>
  <c r="F17" i="2"/>
  <c r="H17" i="2" s="1"/>
  <c r="B17" i="2"/>
  <c r="G16" i="2"/>
  <c r="F16" i="2"/>
  <c r="H16" i="2" s="1"/>
  <c r="B16" i="2"/>
  <c r="G15" i="2"/>
  <c r="F15" i="2"/>
  <c r="H15" i="2" s="1"/>
  <c r="B15" i="2"/>
  <c r="G14" i="2"/>
  <c r="F14" i="2"/>
  <c r="H14" i="2" s="1"/>
  <c r="B14" i="2"/>
  <c r="G13" i="2"/>
  <c r="F13" i="2"/>
  <c r="H13" i="2" s="1"/>
  <c r="B13" i="2"/>
  <c r="G12" i="2"/>
  <c r="F12" i="2"/>
  <c r="H12" i="2" s="1"/>
  <c r="B12" i="2"/>
  <c r="B11" i="2"/>
  <c r="B10" i="2"/>
  <c r="E40" i="1"/>
  <c r="D40" i="1"/>
  <c r="E39" i="1"/>
  <c r="D39" i="1"/>
  <c r="E38" i="1"/>
  <c r="D38" i="1"/>
  <c r="D36" i="1"/>
  <c r="D35" i="1"/>
  <c r="D34" i="1"/>
  <c r="E22" i="1"/>
  <c r="E20" i="1"/>
  <c r="E18" i="1"/>
  <c r="E17" i="1"/>
  <c r="E15" i="1"/>
  <c r="E13" i="1"/>
  <c r="E12" i="1"/>
  <c r="E10" i="1"/>
  <c r="I8" i="1"/>
  <c r="K726" i="2" l="1"/>
  <c r="K670" i="2"/>
  <c r="K671" i="2"/>
  <c r="K672" i="2"/>
  <c r="K673" i="2"/>
  <c r="K674" i="2"/>
  <c r="K675" i="2"/>
  <c r="K678" i="2"/>
  <c r="K679" i="2"/>
  <c r="K680" i="2"/>
  <c r="K681" i="2"/>
  <c r="K682" i="2"/>
  <c r="K683" i="2"/>
  <c r="K686" i="2"/>
  <c r="K687" i="2"/>
  <c r="K688" i="2"/>
  <c r="K689" i="2"/>
  <c r="K690" i="2"/>
  <c r="K691" i="2"/>
  <c r="K696" i="2"/>
  <c r="J670" i="2"/>
  <c r="L670" i="2" s="1"/>
  <c r="N670" i="2" s="1"/>
  <c r="O670" i="2" s="1"/>
  <c r="J671" i="2"/>
  <c r="L671" i="2" s="1"/>
  <c r="N671" i="2" s="1"/>
  <c r="O671" i="2" s="1"/>
  <c r="J672" i="2"/>
  <c r="L672" i="2" s="1"/>
  <c r="N672" i="2" s="1"/>
  <c r="O672" i="2" s="1"/>
  <c r="J673" i="2"/>
  <c r="L673" i="2" s="1"/>
  <c r="N673" i="2" s="1"/>
  <c r="O673" i="2" s="1"/>
  <c r="J674" i="2"/>
  <c r="L674" i="2" s="1"/>
  <c r="N674" i="2" s="1"/>
  <c r="O674" i="2" s="1"/>
  <c r="J675" i="2"/>
  <c r="L675" i="2" s="1"/>
  <c r="N675" i="2" s="1"/>
  <c r="J678" i="2"/>
  <c r="L678" i="2" s="1"/>
  <c r="N678" i="2" s="1"/>
  <c r="O678" i="2" s="1"/>
  <c r="J679" i="2"/>
  <c r="L679" i="2" s="1"/>
  <c r="N679" i="2" s="1"/>
  <c r="O679" i="2" s="1"/>
  <c r="J680" i="2"/>
  <c r="L680" i="2" s="1"/>
  <c r="N680" i="2" s="1"/>
  <c r="O680" i="2" s="1"/>
  <c r="J681" i="2"/>
  <c r="L681" i="2" s="1"/>
  <c r="N681" i="2" s="1"/>
  <c r="O681" i="2" s="1"/>
  <c r="J682" i="2"/>
  <c r="L682" i="2" s="1"/>
  <c r="N682" i="2" s="1"/>
  <c r="O682" i="2" s="1"/>
  <c r="J683" i="2"/>
  <c r="L683" i="2" s="1"/>
  <c r="N683" i="2" s="1"/>
  <c r="J686" i="2"/>
  <c r="L686" i="2" s="1"/>
  <c r="N686" i="2" s="1"/>
  <c r="O686" i="2" s="1"/>
  <c r="J687" i="2"/>
  <c r="L687" i="2" s="1"/>
  <c r="N687" i="2" s="1"/>
  <c r="O687" i="2" s="1"/>
  <c r="J688" i="2"/>
  <c r="L688" i="2" s="1"/>
  <c r="N688" i="2" s="1"/>
  <c r="O688" i="2" s="1"/>
  <c r="J689" i="2"/>
  <c r="L689" i="2" s="1"/>
  <c r="N689" i="2" s="1"/>
  <c r="O689" i="2" s="1"/>
  <c r="J690" i="2"/>
  <c r="L690" i="2" s="1"/>
  <c r="N690" i="2" s="1"/>
  <c r="O690" i="2" s="1"/>
  <c r="J691" i="2"/>
  <c r="L691" i="2" s="1"/>
  <c r="N691" i="2" s="1"/>
  <c r="K656" i="2"/>
  <c r="K600" i="2"/>
  <c r="K601" i="2"/>
  <c r="K602" i="2"/>
  <c r="K603" i="2"/>
  <c r="K604" i="2"/>
  <c r="K605" i="2"/>
  <c r="K608" i="2"/>
  <c r="K609" i="2"/>
  <c r="K610" i="2"/>
  <c r="K611" i="2"/>
  <c r="K612" i="2"/>
  <c r="K613" i="2"/>
  <c r="K616" i="2"/>
  <c r="K617" i="2"/>
  <c r="K618" i="2"/>
  <c r="K619" i="2"/>
  <c r="K620" i="2"/>
  <c r="K621" i="2"/>
  <c r="K626" i="2"/>
  <c r="J600" i="2"/>
  <c r="J601" i="2"/>
  <c r="J602" i="2"/>
  <c r="J603" i="2"/>
  <c r="J604" i="2"/>
  <c r="J605" i="2"/>
  <c r="J608" i="2"/>
  <c r="J609" i="2"/>
  <c r="J610" i="2"/>
  <c r="J611" i="2"/>
  <c r="J612" i="2"/>
  <c r="J613" i="2"/>
  <c r="J616" i="2"/>
  <c r="J617" i="2"/>
  <c r="J618" i="2"/>
  <c r="J619" i="2"/>
  <c r="L619" i="2" s="1"/>
  <c r="N619" i="2" s="1"/>
  <c r="O619" i="2" s="1"/>
  <c r="J620" i="2"/>
  <c r="L620" i="2" s="1"/>
  <c r="N620" i="2" s="1"/>
  <c r="O620" i="2" s="1"/>
  <c r="J621" i="2"/>
  <c r="L621" i="2" s="1"/>
  <c r="N621" i="2" s="1"/>
  <c r="K585" i="2"/>
  <c r="K584" i="2"/>
  <c r="K582" i="2"/>
  <c r="K581" i="2"/>
  <c r="K580" i="2"/>
  <c r="K578" i="2"/>
  <c r="K577" i="2"/>
  <c r="K576" i="2"/>
  <c r="K575" i="2"/>
  <c r="K574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K573" i="2"/>
  <c r="B573" i="2"/>
  <c r="K572" i="2"/>
  <c r="K571" i="2"/>
  <c r="K570" i="2"/>
  <c r="K569" i="2"/>
  <c r="K568" i="2"/>
  <c r="K567" i="2"/>
  <c r="K566" i="2"/>
  <c r="K565" i="2"/>
  <c r="K564" i="2"/>
  <c r="K563" i="2"/>
  <c r="K562" i="2"/>
  <c r="K561" i="2"/>
  <c r="K560" i="2"/>
  <c r="K559" i="2"/>
  <c r="K558" i="2"/>
  <c r="B569" i="2"/>
  <c r="B566" i="2"/>
  <c r="B565" i="2"/>
  <c r="B564" i="2"/>
  <c r="B563" i="2"/>
  <c r="B562" i="2"/>
  <c r="B561" i="2"/>
  <c r="B571" i="2"/>
  <c r="B560" i="2"/>
  <c r="B568" i="2"/>
  <c r="B572" i="2"/>
  <c r="B559" i="2"/>
  <c r="B567" i="2"/>
  <c r="B570" i="2"/>
  <c r="B558" i="2"/>
  <c r="K488" i="2"/>
  <c r="J456" i="2"/>
  <c r="J457" i="2"/>
  <c r="J458" i="2"/>
  <c r="J459" i="2"/>
  <c r="J460" i="2"/>
  <c r="J461" i="2"/>
  <c r="J462" i="2"/>
  <c r="J463" i="2"/>
  <c r="J466" i="2"/>
  <c r="J467" i="2"/>
  <c r="J468" i="2"/>
  <c r="J469" i="2"/>
  <c r="J470" i="2"/>
  <c r="J471" i="2"/>
  <c r="J472" i="2"/>
  <c r="J473" i="2"/>
  <c r="J476" i="2"/>
  <c r="J477" i="2"/>
  <c r="J478" i="2"/>
  <c r="J479" i="2"/>
  <c r="J480" i="2"/>
  <c r="J481" i="2"/>
  <c r="J482" i="2"/>
  <c r="J483" i="2"/>
  <c r="G405" i="2"/>
  <c r="G403" i="2"/>
  <c r="G402" i="2"/>
  <c r="G399" i="2"/>
  <c r="G404" i="2"/>
  <c r="G400" i="2"/>
  <c r="G401" i="2"/>
  <c r="G406" i="2"/>
  <c r="G407" i="2"/>
  <c r="G408" i="2"/>
  <c r="G409" i="2"/>
  <c r="F402" i="2"/>
  <c r="H402" i="2" s="1"/>
  <c r="J433" i="2"/>
  <c r="F399" i="2"/>
  <c r="H399" i="2" s="1"/>
  <c r="F403" i="2"/>
  <c r="H403" i="2" s="1"/>
  <c r="F404" i="2"/>
  <c r="H404" i="2" s="1"/>
  <c r="F405" i="2"/>
  <c r="H405" i="2" s="1"/>
  <c r="F406" i="2"/>
  <c r="H406" i="2" s="1"/>
  <c r="F401" i="2"/>
  <c r="H401" i="2" s="1"/>
  <c r="F407" i="2"/>
  <c r="H407" i="2" s="1"/>
  <c r="F408" i="2"/>
  <c r="H408" i="2" s="1"/>
  <c r="F409" i="2"/>
  <c r="H409" i="2" s="1"/>
  <c r="F400" i="2"/>
  <c r="H400" i="2" s="1"/>
  <c r="J414" i="2"/>
  <c r="J399" i="2"/>
  <c r="J400" i="2"/>
  <c r="J401" i="2"/>
  <c r="J402" i="2"/>
  <c r="J403" i="2"/>
  <c r="J404" i="2"/>
  <c r="J405" i="2"/>
  <c r="J406" i="2"/>
  <c r="J407" i="2"/>
  <c r="J408" i="2"/>
  <c r="J409" i="2"/>
  <c r="J386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J358" i="2"/>
  <c r="J340" i="2"/>
  <c r="L340" i="2" s="1"/>
  <c r="N340" i="2" s="1"/>
  <c r="O340" i="2" s="1"/>
  <c r="J341" i="2"/>
  <c r="L341" i="2" s="1"/>
  <c r="N341" i="2" s="1"/>
  <c r="O341" i="2" s="1"/>
  <c r="J342" i="2"/>
  <c r="L342" i="2" s="1"/>
  <c r="N342" i="2" s="1"/>
  <c r="O342" i="2" s="1"/>
  <c r="J343" i="2"/>
  <c r="L343" i="2" s="1"/>
  <c r="N343" i="2" s="1"/>
  <c r="O343" i="2" s="1"/>
  <c r="J344" i="2"/>
  <c r="L344" i="2" s="1"/>
  <c r="N344" i="2" s="1"/>
  <c r="O344" i="2" s="1"/>
  <c r="J345" i="2"/>
  <c r="L345" i="2" s="1"/>
  <c r="N345" i="2" s="1"/>
  <c r="O345" i="2" s="1"/>
  <c r="J346" i="2"/>
  <c r="L346" i="2" s="1"/>
  <c r="N346" i="2" s="1"/>
  <c r="O346" i="2" s="1"/>
  <c r="J347" i="2"/>
  <c r="L347" i="2" s="1"/>
  <c r="N347" i="2" s="1"/>
  <c r="O347" i="2" s="1"/>
  <c r="J348" i="2"/>
  <c r="L348" i="2" s="1"/>
  <c r="N348" i="2" s="1"/>
  <c r="O348" i="2" s="1"/>
  <c r="J349" i="2"/>
  <c r="L349" i="2" s="1"/>
  <c r="N349" i="2" s="1"/>
  <c r="O349" i="2" s="1"/>
  <c r="J350" i="2"/>
  <c r="L350" i="2" s="1"/>
  <c r="N350" i="2" s="1"/>
  <c r="O350" i="2" s="1"/>
  <c r="J351" i="2"/>
  <c r="L351" i="2" s="1"/>
  <c r="N351" i="2" s="1"/>
  <c r="O351" i="2" s="1"/>
  <c r="J352" i="2"/>
  <c r="L352" i="2" s="1"/>
  <c r="N352" i="2" s="1"/>
  <c r="O352" i="2" s="1"/>
  <c r="J353" i="2"/>
  <c r="L353" i="2" s="1"/>
  <c r="N353" i="2" s="1"/>
  <c r="G282" i="2"/>
  <c r="G283" i="2"/>
  <c r="G284" i="2"/>
  <c r="F283" i="2"/>
  <c r="H283" i="2" s="1"/>
  <c r="F285" i="2"/>
  <c r="H285" i="2" s="1"/>
  <c r="F284" i="2"/>
  <c r="H284" i="2" s="1"/>
  <c r="F282" i="2"/>
  <c r="H282" i="2" s="1"/>
  <c r="J269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J239" i="2"/>
  <c r="J205" i="2"/>
  <c r="L205" i="2" s="1"/>
  <c r="N205" i="2" s="1"/>
  <c r="O205" i="2" s="1"/>
  <c r="J206" i="2"/>
  <c r="L206" i="2" s="1"/>
  <c r="N206" i="2" s="1"/>
  <c r="O206" i="2" s="1"/>
  <c r="J207" i="2"/>
  <c r="L207" i="2" s="1"/>
  <c r="N207" i="2" s="1"/>
  <c r="O207" i="2" s="1"/>
  <c r="J208" i="2"/>
  <c r="L208" i="2" s="1"/>
  <c r="N208" i="2" s="1"/>
  <c r="O208" i="2" s="1"/>
  <c r="J209" i="2"/>
  <c r="L209" i="2" s="1"/>
  <c r="N209" i="2" s="1"/>
  <c r="O209" i="2" s="1"/>
  <c r="J210" i="2"/>
  <c r="L210" i="2" s="1"/>
  <c r="N210" i="2" s="1"/>
  <c r="O210" i="2" s="1"/>
  <c r="J211" i="2"/>
  <c r="L211" i="2" s="1"/>
  <c r="N211" i="2" s="1"/>
  <c r="O211" i="2" s="1"/>
  <c r="J212" i="2"/>
  <c r="L212" i="2" s="1"/>
  <c r="N212" i="2" s="1"/>
  <c r="O212" i="2" s="1"/>
  <c r="J213" i="2"/>
  <c r="L213" i="2" s="1"/>
  <c r="N213" i="2" s="1"/>
  <c r="O213" i="2" s="1"/>
  <c r="J214" i="2"/>
  <c r="L214" i="2" s="1"/>
  <c r="N214" i="2" s="1"/>
  <c r="O214" i="2" s="1"/>
  <c r="J215" i="2"/>
  <c r="L215" i="2" s="1"/>
  <c r="N215" i="2" s="1"/>
  <c r="O215" i="2" s="1"/>
  <c r="J216" i="2"/>
  <c r="L216" i="2" s="1"/>
  <c r="N216" i="2" s="1"/>
  <c r="O216" i="2" s="1"/>
  <c r="J217" i="2"/>
  <c r="L217" i="2" s="1"/>
  <c r="N217" i="2" s="1"/>
  <c r="O217" i="2" s="1"/>
  <c r="J218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192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J164" i="2"/>
  <c r="J146" i="2"/>
  <c r="L146" i="2" s="1"/>
  <c r="N146" i="2" s="1"/>
  <c r="O146" i="2" s="1"/>
  <c r="J147" i="2"/>
  <c r="L147" i="2" s="1"/>
  <c r="N147" i="2" s="1"/>
  <c r="O147" i="2" s="1"/>
  <c r="J148" i="2"/>
  <c r="L148" i="2" s="1"/>
  <c r="N148" i="2" s="1"/>
  <c r="O148" i="2" s="1"/>
  <c r="J149" i="2"/>
  <c r="L149" i="2" s="1"/>
  <c r="N149" i="2" s="1"/>
  <c r="O149" i="2" s="1"/>
  <c r="J150" i="2"/>
  <c r="L150" i="2" s="1"/>
  <c r="N150" i="2" s="1"/>
  <c r="O150" i="2" s="1"/>
  <c r="J151" i="2"/>
  <c r="L151" i="2" s="1"/>
  <c r="N151" i="2" s="1"/>
  <c r="O151" i="2" s="1"/>
  <c r="J152" i="2"/>
  <c r="L152" i="2" s="1"/>
  <c r="N152" i="2" s="1"/>
  <c r="O152" i="2" s="1"/>
  <c r="J153" i="2"/>
  <c r="L153" i="2" s="1"/>
  <c r="N153" i="2" s="1"/>
  <c r="O153" i="2" s="1"/>
  <c r="J154" i="2"/>
  <c r="L154" i="2" s="1"/>
  <c r="N154" i="2" s="1"/>
  <c r="O154" i="2" s="1"/>
  <c r="J155" i="2"/>
  <c r="L155" i="2" s="1"/>
  <c r="N155" i="2" s="1"/>
  <c r="O155" i="2" s="1"/>
  <c r="J156" i="2"/>
  <c r="L156" i="2" s="1"/>
  <c r="N156" i="2" s="1"/>
  <c r="O156" i="2" s="1"/>
  <c r="J157" i="2"/>
  <c r="L157" i="2" s="1"/>
  <c r="N157" i="2" s="1"/>
  <c r="O157" i="2" s="1"/>
  <c r="J158" i="2"/>
  <c r="L158" i="2" s="1"/>
  <c r="N158" i="2" s="1"/>
  <c r="O158" i="2" s="1"/>
  <c r="J159" i="2"/>
  <c r="L159" i="2" s="1"/>
  <c r="N159" i="2" s="1"/>
  <c r="J134" i="2"/>
  <c r="K70" i="2"/>
  <c r="K73" i="2"/>
  <c r="K74" i="2"/>
  <c r="K75" i="2"/>
  <c r="K76" i="2"/>
  <c r="K78" i="2"/>
  <c r="K80" i="2"/>
  <c r="K81" i="2"/>
  <c r="K82" i="2"/>
  <c r="K77" i="2"/>
  <c r="K79" i="2"/>
  <c r="K87" i="2"/>
  <c r="K98" i="2"/>
  <c r="K71" i="2"/>
  <c r="K72" i="2"/>
  <c r="K83" i="2"/>
  <c r="K88" i="2"/>
  <c r="K89" i="2"/>
  <c r="K90" i="2"/>
  <c r="K91" i="2"/>
  <c r="K92" i="2"/>
  <c r="K93" i="2"/>
  <c r="K94" i="2"/>
  <c r="K95" i="2"/>
  <c r="K96" i="2"/>
  <c r="K97" i="2"/>
  <c r="K99" i="2"/>
  <c r="K100" i="2"/>
  <c r="J104" i="2"/>
  <c r="J72" i="2"/>
  <c r="L72" i="2" s="1"/>
  <c r="N72" i="2" s="1"/>
  <c r="O72" i="2" s="1"/>
  <c r="J74" i="2"/>
  <c r="L74" i="2" s="1"/>
  <c r="N74" i="2" s="1"/>
  <c r="O74" i="2" s="1"/>
  <c r="J75" i="2"/>
  <c r="L75" i="2" s="1"/>
  <c r="N75" i="2" s="1"/>
  <c r="O75" i="2" s="1"/>
  <c r="J78" i="2"/>
  <c r="L78" i="2" s="1"/>
  <c r="N78" i="2" s="1"/>
  <c r="O78" i="2" s="1"/>
  <c r="J80" i="2"/>
  <c r="L80" i="2" s="1"/>
  <c r="N80" i="2" s="1"/>
  <c r="O80" i="2" s="1"/>
  <c r="J83" i="2"/>
  <c r="L83" i="2" s="1"/>
  <c r="N83" i="2" s="1"/>
  <c r="J76" i="2"/>
  <c r="L76" i="2" s="1"/>
  <c r="N76" i="2" s="1"/>
  <c r="O76" i="2" s="1"/>
  <c r="J77" i="2"/>
  <c r="L77" i="2" s="1"/>
  <c r="N77" i="2" s="1"/>
  <c r="O77" i="2" s="1"/>
  <c r="J79" i="2"/>
  <c r="L79" i="2" s="1"/>
  <c r="N79" i="2" s="1"/>
  <c r="O79" i="2" s="1"/>
  <c r="J81" i="2"/>
  <c r="L81" i="2" s="1"/>
  <c r="N81" i="2" s="1"/>
  <c r="O81" i="2" s="1"/>
  <c r="J82" i="2"/>
  <c r="L82" i="2" s="1"/>
  <c r="N82" i="2" s="1"/>
  <c r="O82" i="2" s="1"/>
  <c r="J91" i="2"/>
  <c r="L91" i="2" s="1"/>
  <c r="N91" i="2" s="1"/>
  <c r="O91" i="2" s="1"/>
  <c r="J70" i="2"/>
  <c r="L70" i="2" s="1"/>
  <c r="N70" i="2" s="1"/>
  <c r="O70" i="2" s="1"/>
  <c r="J71" i="2"/>
  <c r="L71" i="2" s="1"/>
  <c r="N71" i="2" s="1"/>
  <c r="O71" i="2" s="1"/>
  <c r="J73" i="2"/>
  <c r="L73" i="2" s="1"/>
  <c r="N73" i="2" s="1"/>
  <c r="O73" i="2" s="1"/>
  <c r="J87" i="2"/>
  <c r="L87" i="2" s="1"/>
  <c r="N87" i="2" s="1"/>
  <c r="O87" i="2" s="1"/>
  <c r="J88" i="2"/>
  <c r="L88" i="2" s="1"/>
  <c r="N88" i="2" s="1"/>
  <c r="O88" i="2" s="1"/>
  <c r="J89" i="2"/>
  <c r="L89" i="2" s="1"/>
  <c r="N89" i="2" s="1"/>
  <c r="O89" i="2" s="1"/>
  <c r="J90" i="2"/>
  <c r="L90" i="2" s="1"/>
  <c r="N90" i="2" s="1"/>
  <c r="O90" i="2" s="1"/>
  <c r="J92" i="2"/>
  <c r="L92" i="2" s="1"/>
  <c r="N92" i="2" s="1"/>
  <c r="O92" i="2" s="1"/>
  <c r="J93" i="2"/>
  <c r="L93" i="2" s="1"/>
  <c r="N93" i="2" s="1"/>
  <c r="O93" i="2" s="1"/>
  <c r="J94" i="2"/>
  <c r="L94" i="2" s="1"/>
  <c r="N94" i="2" s="1"/>
  <c r="O94" i="2" s="1"/>
  <c r="J95" i="2"/>
  <c r="L95" i="2" s="1"/>
  <c r="N95" i="2" s="1"/>
  <c r="O95" i="2" s="1"/>
  <c r="J96" i="2"/>
  <c r="L96" i="2" s="1"/>
  <c r="N96" i="2" s="1"/>
  <c r="O96" i="2" s="1"/>
  <c r="J97" i="2"/>
  <c r="L97" i="2" s="1"/>
  <c r="N97" i="2" s="1"/>
  <c r="O97" i="2" s="1"/>
  <c r="J98" i="2"/>
  <c r="L98" i="2" s="1"/>
  <c r="N98" i="2" s="1"/>
  <c r="O98" i="2" s="1"/>
  <c r="J99" i="2"/>
  <c r="L99" i="2" s="1"/>
  <c r="N99" i="2" s="1"/>
  <c r="O99" i="2" s="1"/>
  <c r="J100" i="2"/>
  <c r="L100" i="2" s="1"/>
  <c r="N100" i="2" s="1"/>
  <c r="K12" i="2"/>
  <c r="K18" i="2"/>
  <c r="K20" i="2"/>
  <c r="K14" i="2"/>
  <c r="K19" i="2"/>
  <c r="K24" i="2"/>
  <c r="J58" i="2"/>
  <c r="K13" i="2"/>
  <c r="K15" i="2"/>
  <c r="K16" i="2"/>
  <c r="K17" i="2"/>
  <c r="K21" i="2"/>
  <c r="K22" i="2"/>
  <c r="K23" i="2"/>
  <c r="K25" i="2"/>
  <c r="J30" i="2"/>
  <c r="J13" i="2"/>
  <c r="L13" i="2" s="1"/>
  <c r="N13" i="2" s="1"/>
  <c r="O13" i="2" s="1"/>
  <c r="J15" i="2"/>
  <c r="L15" i="2" s="1"/>
  <c r="N15" i="2" s="1"/>
  <c r="O15" i="2" s="1"/>
  <c r="J17" i="2"/>
  <c r="L17" i="2" s="1"/>
  <c r="N17" i="2" s="1"/>
  <c r="O17" i="2" s="1"/>
  <c r="J18" i="2"/>
  <c r="L18" i="2" s="1"/>
  <c r="N18" i="2" s="1"/>
  <c r="O18" i="2" s="1"/>
  <c r="J20" i="2"/>
  <c r="L20" i="2" s="1"/>
  <c r="N20" i="2" s="1"/>
  <c r="O20" i="2" s="1"/>
  <c r="J21" i="2"/>
  <c r="L21" i="2" s="1"/>
  <c r="N21" i="2" s="1"/>
  <c r="O21" i="2" s="1"/>
  <c r="J24" i="2"/>
  <c r="L24" i="2" s="1"/>
  <c r="N24" i="2" s="1"/>
  <c r="O24" i="2" s="1"/>
  <c r="J12" i="2"/>
  <c r="L12" i="2" s="1"/>
  <c r="N12" i="2" s="1"/>
  <c r="O12" i="2" s="1"/>
  <c r="J14" i="2"/>
  <c r="L14" i="2" s="1"/>
  <c r="N14" i="2" s="1"/>
  <c r="O14" i="2" s="1"/>
  <c r="J16" i="2"/>
  <c r="L16" i="2" s="1"/>
  <c r="N16" i="2" s="1"/>
  <c r="O16" i="2" s="1"/>
  <c r="J19" i="2"/>
  <c r="L19" i="2" s="1"/>
  <c r="N19" i="2" s="1"/>
  <c r="O19" i="2" s="1"/>
  <c r="J22" i="2"/>
  <c r="L22" i="2" s="1"/>
  <c r="N22" i="2" s="1"/>
  <c r="O22" i="2" s="1"/>
  <c r="J23" i="2"/>
  <c r="L23" i="2" s="1"/>
  <c r="N23" i="2" s="1"/>
  <c r="O23" i="2" s="1"/>
  <c r="J25" i="2"/>
  <c r="L25" i="2" s="1"/>
  <c r="N25" i="2" s="1"/>
  <c r="J666" i="2"/>
  <c r="J527" i="2"/>
  <c r="J338" i="2"/>
  <c r="J596" i="2"/>
  <c r="J280" i="2"/>
  <c r="J144" i="2"/>
  <c r="J397" i="2"/>
  <c r="H28" i="2"/>
  <c r="J452" i="2"/>
  <c r="F338" i="2"/>
  <c r="G28" i="2"/>
  <c r="F397" i="2"/>
  <c r="F452" i="2"/>
  <c r="F527" i="2"/>
  <c r="F144" i="2"/>
  <c r="F596" i="2"/>
  <c r="F666" i="2"/>
  <c r="F280" i="2"/>
  <c r="B275" i="2"/>
  <c r="B661" i="2"/>
  <c r="B522" i="2"/>
  <c r="B139" i="2"/>
  <c r="B591" i="2"/>
  <c r="B447" i="2"/>
  <c r="B333" i="2"/>
  <c r="B392" i="2"/>
  <c r="O675" i="2" l="1"/>
  <c r="G38" i="1" s="1"/>
  <c r="I38" i="1" s="1"/>
  <c r="F38" i="1"/>
  <c r="H38" i="1" s="1"/>
  <c r="O683" i="2"/>
  <c r="G39" i="1" s="1"/>
  <c r="I39" i="1" s="1"/>
  <c r="F39" i="1"/>
  <c r="H39" i="1" s="1"/>
  <c r="O691" i="2"/>
  <c r="G40" i="1" s="1"/>
  <c r="I40" i="1" s="1"/>
  <c r="F40" i="1"/>
  <c r="H40" i="1" s="1"/>
  <c r="O621" i="2"/>
  <c r="G36" i="1" s="1"/>
  <c r="I36" i="1" s="1"/>
  <c r="F36" i="1"/>
  <c r="H36" i="1" s="1"/>
  <c r="K586" i="2"/>
  <c r="K531" i="2"/>
  <c r="K532" i="2"/>
  <c r="K533" i="2"/>
  <c r="K534" i="2"/>
  <c r="K535" i="2"/>
  <c r="K536" i="2"/>
  <c r="K539" i="2"/>
  <c r="K540" i="2"/>
  <c r="K541" i="2"/>
  <c r="K542" i="2"/>
  <c r="K543" i="2"/>
  <c r="K544" i="2"/>
  <c r="K547" i="2"/>
  <c r="K548" i="2"/>
  <c r="K549" i="2"/>
  <c r="K550" i="2"/>
  <c r="K551" i="2"/>
  <c r="K552" i="2"/>
  <c r="G531" i="2"/>
  <c r="G532" i="2"/>
  <c r="G533" i="2"/>
  <c r="G534" i="2"/>
  <c r="G535" i="2"/>
  <c r="G536" i="2"/>
  <c r="G539" i="2"/>
  <c r="G540" i="2"/>
  <c r="G541" i="2"/>
  <c r="G542" i="2"/>
  <c r="G543" i="2"/>
  <c r="G544" i="2"/>
  <c r="G547" i="2"/>
  <c r="G548" i="2"/>
  <c r="G549" i="2"/>
  <c r="G550" i="2"/>
  <c r="G551" i="2"/>
  <c r="G552" i="2"/>
  <c r="K557" i="2"/>
  <c r="J531" i="2"/>
  <c r="L531" i="2" s="1"/>
  <c r="J532" i="2"/>
  <c r="L532" i="2" s="1"/>
  <c r="J533" i="2"/>
  <c r="L533" i="2" s="1"/>
  <c r="J534" i="2"/>
  <c r="L534" i="2" s="1"/>
  <c r="J535" i="2"/>
  <c r="L535" i="2" s="1"/>
  <c r="J536" i="2"/>
  <c r="L536" i="2" s="1"/>
  <c r="J539" i="2"/>
  <c r="L539" i="2" s="1"/>
  <c r="J540" i="2"/>
  <c r="L540" i="2" s="1"/>
  <c r="J541" i="2"/>
  <c r="L541" i="2" s="1"/>
  <c r="J542" i="2"/>
  <c r="L542" i="2" s="1"/>
  <c r="J543" i="2"/>
  <c r="L543" i="2" s="1"/>
  <c r="J544" i="2"/>
  <c r="L544" i="2" s="1"/>
  <c r="J547" i="2"/>
  <c r="L547" i="2" s="1"/>
  <c r="J548" i="2"/>
  <c r="L548" i="2" s="1"/>
  <c r="J549" i="2"/>
  <c r="L549" i="2" s="1"/>
  <c r="J550" i="2"/>
  <c r="L550" i="2" s="1"/>
  <c r="J551" i="2"/>
  <c r="L551" i="2" s="1"/>
  <c r="J552" i="2"/>
  <c r="L552" i="2" s="1"/>
  <c r="F531" i="2"/>
  <c r="H531" i="2" s="1"/>
  <c r="F532" i="2"/>
  <c r="H532" i="2" s="1"/>
  <c r="F533" i="2"/>
  <c r="H533" i="2" s="1"/>
  <c r="F534" i="2"/>
  <c r="H534" i="2" s="1"/>
  <c r="F535" i="2"/>
  <c r="H535" i="2" s="1"/>
  <c r="F536" i="2"/>
  <c r="H536" i="2" s="1"/>
  <c r="F539" i="2"/>
  <c r="H539" i="2" s="1"/>
  <c r="F540" i="2"/>
  <c r="H540" i="2" s="1"/>
  <c r="F541" i="2"/>
  <c r="H541" i="2" s="1"/>
  <c r="F542" i="2"/>
  <c r="H542" i="2" s="1"/>
  <c r="F543" i="2"/>
  <c r="H543" i="2" s="1"/>
  <c r="F544" i="2"/>
  <c r="H544" i="2" s="1"/>
  <c r="F547" i="2"/>
  <c r="H547" i="2" s="1"/>
  <c r="F548" i="2"/>
  <c r="H548" i="2" s="1"/>
  <c r="F549" i="2"/>
  <c r="H549" i="2" s="1"/>
  <c r="F550" i="2"/>
  <c r="H550" i="2" s="1"/>
  <c r="F551" i="2"/>
  <c r="H551" i="2" s="1"/>
  <c r="F552" i="2"/>
  <c r="H552" i="2" s="1"/>
  <c r="K517" i="2"/>
  <c r="K456" i="2"/>
  <c r="L456" i="2" s="1"/>
  <c r="K457" i="2"/>
  <c r="L457" i="2" s="1"/>
  <c r="K458" i="2"/>
  <c r="L458" i="2" s="1"/>
  <c r="K459" i="2"/>
  <c r="L459" i="2" s="1"/>
  <c r="K460" i="2"/>
  <c r="L460" i="2" s="1"/>
  <c r="K461" i="2"/>
  <c r="L461" i="2" s="1"/>
  <c r="K462" i="2"/>
  <c r="L462" i="2" s="1"/>
  <c r="K463" i="2"/>
  <c r="L463" i="2" s="1"/>
  <c r="K466" i="2"/>
  <c r="L466" i="2" s="1"/>
  <c r="K467" i="2"/>
  <c r="L467" i="2" s="1"/>
  <c r="K468" i="2"/>
  <c r="L468" i="2" s="1"/>
  <c r="K469" i="2"/>
  <c r="L469" i="2" s="1"/>
  <c r="K470" i="2"/>
  <c r="L470" i="2" s="1"/>
  <c r="K471" i="2"/>
  <c r="L471" i="2" s="1"/>
  <c r="K472" i="2"/>
  <c r="L472" i="2" s="1"/>
  <c r="K473" i="2"/>
  <c r="L473" i="2" s="1"/>
  <c r="K476" i="2"/>
  <c r="L476" i="2" s="1"/>
  <c r="K477" i="2"/>
  <c r="L477" i="2" s="1"/>
  <c r="K478" i="2"/>
  <c r="L478" i="2" s="1"/>
  <c r="K479" i="2"/>
  <c r="L479" i="2" s="1"/>
  <c r="K480" i="2"/>
  <c r="L480" i="2" s="1"/>
  <c r="K481" i="2"/>
  <c r="L481" i="2" s="1"/>
  <c r="K482" i="2"/>
  <c r="L482" i="2" s="1"/>
  <c r="K483" i="2"/>
  <c r="L483" i="2" s="1"/>
  <c r="G456" i="2"/>
  <c r="H456" i="2" s="1"/>
  <c r="G457" i="2"/>
  <c r="H457" i="2" s="1"/>
  <c r="G458" i="2"/>
  <c r="H458" i="2" s="1"/>
  <c r="G459" i="2"/>
  <c r="H459" i="2" s="1"/>
  <c r="G460" i="2"/>
  <c r="H460" i="2" s="1"/>
  <c r="G461" i="2"/>
  <c r="H461" i="2" s="1"/>
  <c r="G462" i="2"/>
  <c r="H462" i="2" s="1"/>
  <c r="G463" i="2"/>
  <c r="H463" i="2" s="1"/>
  <c r="G466" i="2"/>
  <c r="H466" i="2" s="1"/>
  <c r="G467" i="2"/>
  <c r="H467" i="2" s="1"/>
  <c r="G468" i="2"/>
  <c r="H468" i="2" s="1"/>
  <c r="G469" i="2"/>
  <c r="H469" i="2" s="1"/>
  <c r="G470" i="2"/>
  <c r="H470" i="2" s="1"/>
  <c r="G471" i="2"/>
  <c r="H471" i="2" s="1"/>
  <c r="G472" i="2"/>
  <c r="H472" i="2" s="1"/>
  <c r="G473" i="2"/>
  <c r="H473" i="2" s="1"/>
  <c r="G476" i="2"/>
  <c r="H476" i="2" s="1"/>
  <c r="G477" i="2"/>
  <c r="H477" i="2" s="1"/>
  <c r="G478" i="2"/>
  <c r="H478" i="2" s="1"/>
  <c r="G479" i="2"/>
  <c r="H479" i="2" s="1"/>
  <c r="G480" i="2"/>
  <c r="H480" i="2" s="1"/>
  <c r="G481" i="2"/>
  <c r="H481" i="2" s="1"/>
  <c r="G482" i="2"/>
  <c r="H482" i="2" s="1"/>
  <c r="G483" i="2"/>
  <c r="H483" i="2" s="1"/>
  <c r="J442" i="2"/>
  <c r="K399" i="2"/>
  <c r="L399" i="2" s="1"/>
  <c r="N399" i="2" s="1"/>
  <c r="O399" i="2" s="1"/>
  <c r="K400" i="2"/>
  <c r="L400" i="2" s="1"/>
  <c r="N400" i="2" s="1"/>
  <c r="O400" i="2" s="1"/>
  <c r="K401" i="2"/>
  <c r="L401" i="2" s="1"/>
  <c r="N401" i="2" s="1"/>
  <c r="O401" i="2" s="1"/>
  <c r="K402" i="2"/>
  <c r="L402" i="2" s="1"/>
  <c r="N402" i="2" s="1"/>
  <c r="O402" i="2" s="1"/>
  <c r="K403" i="2"/>
  <c r="L403" i="2" s="1"/>
  <c r="N403" i="2" s="1"/>
  <c r="O403" i="2" s="1"/>
  <c r="K404" i="2"/>
  <c r="L404" i="2" s="1"/>
  <c r="N404" i="2" s="1"/>
  <c r="O404" i="2" s="1"/>
  <c r="K405" i="2"/>
  <c r="L405" i="2" s="1"/>
  <c r="N405" i="2" s="1"/>
  <c r="O405" i="2" s="1"/>
  <c r="K406" i="2"/>
  <c r="L406" i="2" s="1"/>
  <c r="N406" i="2" s="1"/>
  <c r="O406" i="2" s="1"/>
  <c r="K407" i="2"/>
  <c r="L407" i="2" s="1"/>
  <c r="N407" i="2" s="1"/>
  <c r="O407" i="2" s="1"/>
  <c r="K408" i="2"/>
  <c r="L408" i="2" s="1"/>
  <c r="N408" i="2" s="1"/>
  <c r="O408" i="2" s="1"/>
  <c r="K409" i="2"/>
  <c r="L409" i="2" s="1"/>
  <c r="N409" i="2" s="1"/>
  <c r="O353" i="2"/>
  <c r="G22" i="1" s="1"/>
  <c r="I22" i="1" s="1"/>
  <c r="F22" i="1"/>
  <c r="H22" i="1" s="1"/>
  <c r="J328" i="2"/>
  <c r="K285" i="2"/>
  <c r="K287" i="2"/>
  <c r="K288" i="2"/>
  <c r="K291" i="2"/>
  <c r="K282" i="2"/>
  <c r="K283" i="2"/>
  <c r="K284" i="2"/>
  <c r="K286" i="2"/>
  <c r="K289" i="2"/>
  <c r="K290" i="2"/>
  <c r="K292" i="2"/>
  <c r="K293" i="2"/>
  <c r="K294" i="2"/>
  <c r="K295" i="2"/>
  <c r="J300" i="2"/>
  <c r="J285" i="2"/>
  <c r="L285" i="2" s="1"/>
  <c r="N285" i="2" s="1"/>
  <c r="O285" i="2" s="1"/>
  <c r="J287" i="2"/>
  <c r="L287" i="2" s="1"/>
  <c r="N287" i="2" s="1"/>
  <c r="O287" i="2" s="1"/>
  <c r="J288" i="2"/>
  <c r="L288" i="2" s="1"/>
  <c r="N288" i="2" s="1"/>
  <c r="O288" i="2" s="1"/>
  <c r="J291" i="2"/>
  <c r="L291" i="2" s="1"/>
  <c r="N291" i="2" s="1"/>
  <c r="O291" i="2" s="1"/>
  <c r="J282" i="2"/>
  <c r="L282" i="2" s="1"/>
  <c r="N282" i="2" s="1"/>
  <c r="O282" i="2" s="1"/>
  <c r="J283" i="2"/>
  <c r="L283" i="2" s="1"/>
  <c r="N283" i="2" s="1"/>
  <c r="O283" i="2" s="1"/>
  <c r="J284" i="2"/>
  <c r="L284" i="2" s="1"/>
  <c r="N284" i="2" s="1"/>
  <c r="O284" i="2" s="1"/>
  <c r="J286" i="2"/>
  <c r="L286" i="2" s="1"/>
  <c r="N286" i="2" s="1"/>
  <c r="O286" i="2" s="1"/>
  <c r="J289" i="2"/>
  <c r="L289" i="2" s="1"/>
  <c r="N289" i="2" s="1"/>
  <c r="O289" i="2" s="1"/>
  <c r="J290" i="2"/>
  <c r="L290" i="2" s="1"/>
  <c r="N290" i="2" s="1"/>
  <c r="O290" i="2" s="1"/>
  <c r="J292" i="2"/>
  <c r="L292" i="2" s="1"/>
  <c r="N292" i="2" s="1"/>
  <c r="O292" i="2" s="1"/>
  <c r="J293" i="2"/>
  <c r="L293" i="2" s="1"/>
  <c r="N293" i="2" s="1"/>
  <c r="O293" i="2" s="1"/>
  <c r="J294" i="2"/>
  <c r="L294" i="2" s="1"/>
  <c r="N294" i="2" s="1"/>
  <c r="O294" i="2" s="1"/>
  <c r="J295" i="2"/>
  <c r="L295" i="2" s="1"/>
  <c r="N295" i="2" s="1"/>
  <c r="O159" i="2"/>
  <c r="G15" i="1" s="1"/>
  <c r="I15" i="1" s="1"/>
  <c r="F15" i="1"/>
  <c r="H15" i="1" s="1"/>
  <c r="O83" i="2"/>
  <c r="G12" i="1" s="1"/>
  <c r="I12" i="1" s="1"/>
  <c r="F12" i="1"/>
  <c r="H12" i="1" s="1"/>
  <c r="O100" i="2"/>
  <c r="G13" i="1" s="1"/>
  <c r="I13" i="1" s="1"/>
  <c r="F13" i="1"/>
  <c r="H13" i="1" s="1"/>
  <c r="F10" i="1"/>
  <c r="H10" i="1" s="1"/>
  <c r="O25" i="2"/>
  <c r="G10" i="1" s="1"/>
  <c r="H102" i="2"/>
  <c r="H162" i="2"/>
  <c r="H237" i="2"/>
  <c r="H356" i="2"/>
  <c r="I412" i="2"/>
  <c r="H298" i="2"/>
  <c r="J486" i="2"/>
  <c r="J555" i="2"/>
  <c r="J624" i="2"/>
  <c r="J694" i="2"/>
  <c r="G102" i="2"/>
  <c r="G162" i="2"/>
  <c r="G237" i="2"/>
  <c r="G356" i="2"/>
  <c r="G412" i="2"/>
  <c r="G298" i="2"/>
  <c r="H486" i="2"/>
  <c r="H555" i="2"/>
  <c r="H624" i="2"/>
  <c r="H694" i="2"/>
  <c r="L600" i="2"/>
  <c r="N600" i="2" s="1"/>
  <c r="O600" i="2" s="1"/>
  <c r="L601" i="2"/>
  <c r="N601" i="2" s="1"/>
  <c r="O601" i="2" s="1"/>
  <c r="L602" i="2"/>
  <c r="N602" i="2" s="1"/>
  <c r="O602" i="2" s="1"/>
  <c r="L603" i="2"/>
  <c r="N603" i="2" s="1"/>
  <c r="O603" i="2" s="1"/>
  <c r="L604" i="2"/>
  <c r="N604" i="2" s="1"/>
  <c r="O604" i="2" s="1"/>
  <c r="L605" i="2"/>
  <c r="N605" i="2" s="1"/>
  <c r="L608" i="2"/>
  <c r="N608" i="2" s="1"/>
  <c r="O608" i="2" s="1"/>
  <c r="L609" i="2"/>
  <c r="N609" i="2" s="1"/>
  <c r="O609" i="2" s="1"/>
  <c r="L610" i="2"/>
  <c r="N610" i="2" s="1"/>
  <c r="O610" i="2" s="1"/>
  <c r="L611" i="2"/>
  <c r="N611" i="2" s="1"/>
  <c r="O611" i="2" s="1"/>
  <c r="L612" i="2"/>
  <c r="N612" i="2" s="1"/>
  <c r="O612" i="2" s="1"/>
  <c r="L613" i="2"/>
  <c r="N613" i="2" s="1"/>
  <c r="L616" i="2"/>
  <c r="N616" i="2" s="1"/>
  <c r="O616" i="2" s="1"/>
  <c r="L617" i="2"/>
  <c r="N617" i="2" s="1"/>
  <c r="O617" i="2" s="1"/>
  <c r="L618" i="2"/>
  <c r="N618" i="2" s="1"/>
  <c r="O618" i="2" s="1"/>
  <c r="K583" i="2"/>
  <c r="L218" i="2"/>
  <c r="N218" i="2" s="1"/>
  <c r="L222" i="2"/>
  <c r="N222" i="2" s="1"/>
  <c r="O222" i="2" s="1"/>
  <c r="L223" i="2"/>
  <c r="N223" i="2" s="1"/>
  <c r="O223" i="2" s="1"/>
  <c r="L224" i="2"/>
  <c r="N224" i="2" s="1"/>
  <c r="O224" i="2" s="1"/>
  <c r="L225" i="2"/>
  <c r="N225" i="2" s="1"/>
  <c r="O225" i="2" s="1"/>
  <c r="L226" i="2"/>
  <c r="N226" i="2" s="1"/>
  <c r="O226" i="2" s="1"/>
  <c r="L227" i="2"/>
  <c r="N227" i="2" s="1"/>
  <c r="O227" i="2" s="1"/>
  <c r="L228" i="2"/>
  <c r="N228" i="2" s="1"/>
  <c r="O228" i="2" s="1"/>
  <c r="L229" i="2"/>
  <c r="N229" i="2" s="1"/>
  <c r="O229" i="2" s="1"/>
  <c r="L230" i="2"/>
  <c r="N230" i="2" s="1"/>
  <c r="O230" i="2" s="1"/>
  <c r="L231" i="2"/>
  <c r="N231" i="2" s="1"/>
  <c r="O231" i="2" s="1"/>
  <c r="L232" i="2"/>
  <c r="N232" i="2" s="1"/>
  <c r="O232" i="2" s="1"/>
  <c r="L233" i="2"/>
  <c r="N233" i="2" s="1"/>
  <c r="O233" i="2" s="1"/>
  <c r="L234" i="2"/>
  <c r="N234" i="2" s="1"/>
  <c r="O234" i="2" s="1"/>
  <c r="L235" i="2"/>
  <c r="N235" i="2" s="1"/>
  <c r="O295" i="2" l="1"/>
  <c r="G20" i="1" s="1"/>
  <c r="I20" i="1" s="1"/>
  <c r="F20" i="1"/>
  <c r="H20" i="1" s="1"/>
  <c r="I10" i="1"/>
  <c r="F34" i="1"/>
  <c r="H34" i="1" s="1"/>
  <c r="O605" i="2"/>
  <c r="G34" i="1" s="1"/>
  <c r="I34" i="1" s="1"/>
  <c r="F35" i="1"/>
  <c r="H35" i="1" s="1"/>
  <c r="O613" i="2"/>
  <c r="G35" i="1" s="1"/>
  <c r="I35" i="1" s="1"/>
  <c r="F17" i="1"/>
  <c r="H17" i="1" s="1"/>
  <c r="O218" i="2"/>
  <c r="G17" i="1" s="1"/>
  <c r="F18" i="1"/>
  <c r="H18" i="1" s="1"/>
  <c r="O235" i="2"/>
  <c r="G18" i="1" s="1"/>
  <c r="I18" i="1" s="1"/>
  <c r="N460" i="2"/>
  <c r="O460" i="2" s="1"/>
  <c r="N473" i="2"/>
  <c r="N479" i="2"/>
  <c r="O479" i="2" s="1"/>
  <c r="N483" i="2"/>
  <c r="N532" i="2"/>
  <c r="O532" i="2" s="1"/>
  <c r="N534" i="2"/>
  <c r="O534" i="2" s="1"/>
  <c r="N536" i="2"/>
  <c r="N540" i="2"/>
  <c r="O540" i="2" s="1"/>
  <c r="N541" i="2"/>
  <c r="O541" i="2" s="1"/>
  <c r="N544" i="2"/>
  <c r="N548" i="2"/>
  <c r="O548" i="2" s="1"/>
  <c r="N549" i="2"/>
  <c r="O549" i="2" s="1"/>
  <c r="N551" i="2"/>
  <c r="O551" i="2" s="1"/>
  <c r="N457" i="2"/>
  <c r="O457" i="2" s="1"/>
  <c r="N458" i="2"/>
  <c r="O458" i="2" s="1"/>
  <c r="N461" i="2"/>
  <c r="O461" i="2" s="1"/>
  <c r="N463" i="2"/>
  <c r="N467" i="2"/>
  <c r="O467" i="2" s="1"/>
  <c r="N469" i="2"/>
  <c r="O469" i="2" s="1"/>
  <c r="N472" i="2"/>
  <c r="O472" i="2" s="1"/>
  <c r="N477" i="2"/>
  <c r="O477" i="2" s="1"/>
  <c r="N480" i="2"/>
  <c r="O480" i="2" s="1"/>
  <c r="N482" i="2"/>
  <c r="O482" i="2" s="1"/>
  <c r="N531" i="2"/>
  <c r="O531" i="2" s="1"/>
  <c r="N533" i="2"/>
  <c r="O533" i="2" s="1"/>
  <c r="N535" i="2"/>
  <c r="O535" i="2" s="1"/>
  <c r="N539" i="2"/>
  <c r="O539" i="2" s="1"/>
  <c r="N542" i="2"/>
  <c r="O542" i="2" s="1"/>
  <c r="N543" i="2"/>
  <c r="O543" i="2" s="1"/>
  <c r="N547" i="2"/>
  <c r="O547" i="2" s="1"/>
  <c r="N550" i="2"/>
  <c r="O550" i="2" s="1"/>
  <c r="N552" i="2"/>
  <c r="N456" i="2"/>
  <c r="O456" i="2" s="1"/>
  <c r="N459" i="2"/>
  <c r="O459" i="2" s="1"/>
  <c r="N462" i="2"/>
  <c r="O462" i="2" s="1"/>
  <c r="N466" i="2"/>
  <c r="O466" i="2" s="1"/>
  <c r="N468" i="2"/>
  <c r="O468" i="2" s="1"/>
  <c r="N470" i="2"/>
  <c r="O470" i="2" s="1"/>
  <c r="N471" i="2"/>
  <c r="O471" i="2" s="1"/>
  <c r="N476" i="2"/>
  <c r="O476" i="2" s="1"/>
  <c r="N478" i="2"/>
  <c r="O478" i="2" s="1"/>
  <c r="N481" i="2"/>
  <c r="O481" i="2" s="1"/>
  <c r="O409" i="2"/>
  <c r="G24" i="1" s="1"/>
  <c r="F24" i="1"/>
  <c r="H24" i="1" s="1"/>
  <c r="F27" i="1" l="1"/>
  <c r="H27" i="1" s="1"/>
  <c r="O473" i="2"/>
  <c r="G27" i="1" s="1"/>
  <c r="I27" i="1" s="1"/>
  <c r="F28" i="1"/>
  <c r="H28" i="1" s="1"/>
  <c r="O483" i="2"/>
  <c r="G28" i="1" s="1"/>
  <c r="I28" i="1" s="1"/>
  <c r="F30" i="1"/>
  <c r="H30" i="1" s="1"/>
  <c r="O536" i="2"/>
  <c r="G30" i="1" s="1"/>
  <c r="I30" i="1" s="1"/>
  <c r="F31" i="1"/>
  <c r="H31" i="1" s="1"/>
  <c r="O544" i="2"/>
  <c r="G31" i="1" s="1"/>
  <c r="I31" i="1" s="1"/>
  <c r="F26" i="1"/>
  <c r="H26" i="1" s="1"/>
  <c r="O463" i="2"/>
  <c r="G26" i="1" s="1"/>
  <c r="I26" i="1" s="1"/>
  <c r="F32" i="1"/>
  <c r="H32" i="1" s="1"/>
  <c r="O552" i="2"/>
  <c r="G32" i="1" s="1"/>
  <c r="I32" i="1" s="1"/>
  <c r="I24" i="1"/>
  <c r="I17" i="1"/>
</calcChain>
</file>

<file path=xl/sharedStrings.xml><?xml version="1.0" encoding="utf-8"?>
<sst xmlns="http://schemas.openxmlformats.org/spreadsheetml/2006/main" count="613" uniqueCount="101">
  <si>
    <t>Cape Light Compact JPE</t>
  </si>
  <si>
    <t xml:space="preserve"> Summary of Bill Impact Analysis</t>
  </si>
  <si>
    <t>Rate Class Information</t>
  </si>
  <si>
    <t>Month</t>
  </si>
  <si>
    <t>Annual</t>
  </si>
  <si>
    <t>Monthly Avg</t>
  </si>
  <si>
    <t xml:space="preserve">Rate </t>
  </si>
  <si>
    <t>kW/kVA</t>
  </si>
  <si>
    <t>kWh</t>
  </si>
  <si>
    <t>Total Change</t>
  </si>
  <si>
    <t>% Change</t>
  </si>
  <si>
    <t>Rate R-1 Residential</t>
  </si>
  <si>
    <t>R-1</t>
  </si>
  <si>
    <t>Rate R-1HP Residential Heat Pump (Winter)</t>
  </si>
  <si>
    <t>R-1HP</t>
  </si>
  <si>
    <t>Rate R-1HP Residential Heat Pump (Summer)</t>
  </si>
  <si>
    <t>Rate R-2 Residential Assistance</t>
  </si>
  <si>
    <t>R-2</t>
  </si>
  <si>
    <t>Rate R-2HP Residential Assistance Heat Pump (Winter)</t>
  </si>
  <si>
    <t>R-2HP</t>
  </si>
  <si>
    <t>Rate R-2HP Residential Assistance Heat Pump (Summer)</t>
  </si>
  <si>
    <t>Rate R-3 Residential Space Heating</t>
  </si>
  <si>
    <t>R-3</t>
  </si>
  <si>
    <t xml:space="preserve">Rate R-4 Residential Assistance Space Heating </t>
  </si>
  <si>
    <t>R-4</t>
  </si>
  <si>
    <t>Rate G-1 Small General Service</t>
  </si>
  <si>
    <t>G-1</t>
  </si>
  <si>
    <t xml:space="preserve"> </t>
  </si>
  <si>
    <t>Rate G-2 Medium General Service</t>
  </si>
  <si>
    <t>G-2</t>
  </si>
  <si>
    <t>Rate G-3 Large General Service</t>
  </si>
  <si>
    <t>G-3</t>
  </si>
  <si>
    <t>Rate G-4 General Power (Closed)</t>
  </si>
  <si>
    <t>G-4</t>
  </si>
  <si>
    <t>Rate G-7 Optional General Time of Use (Closed)</t>
  </si>
  <si>
    <t>G-7</t>
  </si>
  <si>
    <t>The 2026 In Effect reflect the EES rates effective as of January 1, 2026.</t>
  </si>
  <si>
    <t>The 2027 Proposed reflect the EES rates proposed for effect January 1, 2027 through December 31, 2027.</t>
  </si>
  <si>
    <t>The proposed rates include the most up to date information as of the date of filing.</t>
  </si>
  <si>
    <t>Calculation of Monthly Typical Bill</t>
  </si>
  <si>
    <t>Monthly</t>
  </si>
  <si>
    <t>Total Bill Impact</t>
  </si>
  <si>
    <t xml:space="preserve">kWh </t>
  </si>
  <si>
    <t>Delivery</t>
  </si>
  <si>
    <t>Supplier</t>
  </si>
  <si>
    <t>Total</t>
  </si>
  <si>
    <t>Change</t>
  </si>
  <si>
    <t>Avg</t>
  </si>
  <si>
    <t>Rates</t>
  </si>
  <si>
    <t>Customer Charge</t>
  </si>
  <si>
    <t>Distribution Energy</t>
  </si>
  <si>
    <t>Exogenous Cost Adjustment</t>
  </si>
  <si>
    <t>Revenue Decoupling</t>
  </si>
  <si>
    <t>Distributed Solar Charge</t>
  </si>
  <si>
    <t>Residential Assistance Adjustment Factor</t>
  </si>
  <si>
    <t>Pension Adjustment Factor</t>
  </si>
  <si>
    <t>Net Metering Recovery Surcharge</t>
  </si>
  <si>
    <t>Long Term Renewable Contract Adjustment</t>
  </si>
  <si>
    <t>AG Consulting Expense</t>
  </si>
  <si>
    <t>Storm Cost Recovery Adjustment Factor</t>
  </si>
  <si>
    <t>Storm Reserve Adjustment</t>
  </si>
  <si>
    <t>Basic Service Cost True Up Factor</t>
  </si>
  <si>
    <t>Solar Program Cost Adjustment Factor</t>
  </si>
  <si>
    <t>Solar Expansion Cost Recovery Factor</t>
  </si>
  <si>
    <t>Vegetation Management</t>
  </si>
  <si>
    <t>Tax Act Credit Factor</t>
  </si>
  <si>
    <t>Grid Modernization</t>
  </si>
  <si>
    <t>Advanced Metering Infrastructure</t>
  </si>
  <si>
    <t>Electronic Payment Recovery</t>
  </si>
  <si>
    <t>Provisional System Planning Factor</t>
  </si>
  <si>
    <t>Electric Sector Modernization Plan Factor</t>
  </si>
  <si>
    <t>Electric Vehicle Factor</t>
  </si>
  <si>
    <t>Transition</t>
  </si>
  <si>
    <t>Transmission Energy</t>
  </si>
  <si>
    <t>Energy Efficiency Reconciliation Factor</t>
  </si>
  <si>
    <t>System Benefits Charge</t>
  </si>
  <si>
    <t>Renewable Energy Charge</t>
  </si>
  <si>
    <t>Supply Charge</t>
  </si>
  <si>
    <t>Rate R-1HP Residential Heat Pump</t>
  </si>
  <si>
    <t>2026 In Effect (Winter)</t>
  </si>
  <si>
    <t>2027 Proposed (Winter)</t>
  </si>
  <si>
    <t>2026 In Effect (Summer)</t>
  </si>
  <si>
    <t>2027 Proposed (Summer)</t>
  </si>
  <si>
    <t>Distribution Energy - Winter</t>
  </si>
  <si>
    <t>Distribution Energy - Summer</t>
  </si>
  <si>
    <t>Transmission Energy - Winter</t>
  </si>
  <si>
    <t>Transmission Energy - Summer</t>
  </si>
  <si>
    <t>Low Income Discount</t>
  </si>
  <si>
    <t>Rate R-2HP Residential Assistance Heat Pump</t>
  </si>
  <si>
    <t>kVA</t>
  </si>
  <si>
    <t>Hours Use:</t>
  </si>
  <si>
    <t>Distribution Demand</t>
  </si>
  <si>
    <t>Transmission Demand</t>
  </si>
  <si>
    <t>Distribution Energy - Peak</t>
  </si>
  <si>
    <t>Distribution Energy - Low A</t>
  </si>
  <si>
    <t>Peak Use:</t>
  </si>
  <si>
    <t>Low A Use:</t>
  </si>
  <si>
    <t>2026 In Effect vs. 2027 Proposed</t>
  </si>
  <si>
    <t>Proposed January 1, 2027</t>
  </si>
  <si>
    <t>2026 In Effect</t>
  </si>
  <si>
    <t>2027 Proposed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</si>
</sst>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%"/>
    <numFmt numFmtId="167" formatCode="&quot;$&quot;#,##0.00000_);\(&quot;$&quot;#,##0.00000\)"/>
    <numFmt numFmtId="168" formatCode="0.000000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sz val="12"/>
      <color rgb="FFFF0000"/>
      <name val="Arial"/>
      <family val="2"/>
    </font>
    <font>
      <sz val="10"/>
      <name val="Courier"/>
      <family val="3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Arial"/>
      <family val="2"/>
    </font>
    <font>
      <u/>
      <sz val="11"/>
      <color theme="1"/>
      <name val="Times New Roman"/>
      <family val="1"/>
    </font>
    <font>
      <sz val="10"/>
      <color theme="1"/>
      <name val="Calibri"/>
      <family val="2"/>
    </font>
    <font>
      <u val="singleAccounting"/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12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9" fontId="4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7" fillId="0" borderId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8" fillId="0" borderId="0"/>
    <xf numFmtId="0" fontId="8" fillId="0" borderId="0"/>
  </cellStyleXfs>
  <cellXfs count="145">
    <xf numFmtId="0" fontId="0" fillId="0" borderId="0" xfId="0"/>
    <xf numFmtId="0" fontId="3" fillId="0" borderId="0" xfId="4" applyFont="1"/>
    <xf numFmtId="0" fontId="4" fillId="0" borderId="0" xfId="4" applyFont="1"/>
    <xf numFmtId="0" fontId="5" fillId="0" borderId="0" xfId="4" applyFont="1" applyAlignment="1">
      <alignment horizontal="center"/>
    </xf>
    <xf numFmtId="0" fontId="6" fillId="0" borderId="0" xfId="4" applyFont="1"/>
    <xf numFmtId="0" fontId="5" fillId="0" borderId="1" xfId="4" applyFont="1" applyBorder="1" applyAlignment="1">
      <alignment horizontal="center"/>
    </xf>
    <xf numFmtId="0" fontId="5" fillId="0" borderId="2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16" fontId="5" fillId="0" borderId="1" xfId="4" applyNumberFormat="1" applyFont="1" applyBorder="1" applyAlignment="1">
      <alignment horizontal="center"/>
    </xf>
    <xf numFmtId="16" fontId="5" fillId="0" borderId="3" xfId="4" applyNumberFormat="1" applyFont="1" applyBorder="1" applyAlignment="1">
      <alignment horizontal="center"/>
    </xf>
    <xf numFmtId="0" fontId="4" fillId="0" borderId="4" xfId="4" applyFont="1" applyBorder="1"/>
    <xf numFmtId="0" fontId="4" fillId="0" borderId="0" xfId="4" applyFont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6" xfId="4" applyFont="1" applyBorder="1" applyAlignment="1">
      <alignment wrapText="1"/>
    </xf>
    <xf numFmtId="0" fontId="4" fillId="0" borderId="6" xfId="4" applyFont="1" applyBorder="1"/>
    <xf numFmtId="0" fontId="4" fillId="0" borderId="7" xfId="4" applyFont="1" applyBorder="1" applyAlignment="1">
      <alignment horizontal="center"/>
    </xf>
    <xf numFmtId="0" fontId="4" fillId="0" borderId="8" xfId="4" applyFont="1" applyBorder="1" applyAlignment="1">
      <alignment horizontal="center"/>
    </xf>
    <xf numFmtId="0" fontId="4" fillId="0" borderId="9" xfId="4" applyFont="1" applyBorder="1" applyAlignment="1">
      <alignment horizontal="center"/>
    </xf>
    <xf numFmtId="0" fontId="4" fillId="0" borderId="10" xfId="4" applyFont="1" applyBorder="1"/>
    <xf numFmtId="0" fontId="4" fillId="0" borderId="11" xfId="4" applyFont="1" applyBorder="1"/>
    <xf numFmtId="164" fontId="4" fillId="0" borderId="0" xfId="1" applyNumberFormat="1" applyFont="1" applyBorder="1"/>
    <xf numFmtId="164" fontId="4" fillId="0" borderId="5" xfId="1" applyNumberFormat="1" applyFont="1" applyBorder="1"/>
    <xf numFmtId="165" fontId="4" fillId="0" borderId="11" xfId="2" applyNumberFormat="1" applyFont="1" applyBorder="1"/>
    <xf numFmtId="10" fontId="4" fillId="0" borderId="5" xfId="4" applyNumberFormat="1" applyFont="1" applyBorder="1"/>
    <xf numFmtId="44" fontId="4" fillId="0" borderId="11" xfId="2" applyFont="1" applyBorder="1"/>
    <xf numFmtId="9" fontId="4" fillId="0" borderId="0" xfId="3" applyFont="1"/>
    <xf numFmtId="44" fontId="4" fillId="0" borderId="0" xfId="4" applyNumberFormat="1" applyFont="1"/>
    <xf numFmtId="10" fontId="4" fillId="0" borderId="0" xfId="3" applyNumberFormat="1" applyFont="1"/>
    <xf numFmtId="0" fontId="4" fillId="0" borderId="5" xfId="4" applyFont="1" applyBorder="1"/>
    <xf numFmtId="164" fontId="4" fillId="0" borderId="0" xfId="1" applyNumberFormat="1" applyFont="1" applyFill="1" applyBorder="1"/>
    <xf numFmtId="164" fontId="4" fillId="0" borderId="5" xfId="1" applyNumberFormat="1" applyFont="1" applyFill="1" applyBorder="1"/>
    <xf numFmtId="10" fontId="4" fillId="0" borderId="5" xfId="3" applyNumberFormat="1" applyFont="1" applyBorder="1"/>
    <xf numFmtId="0" fontId="4" fillId="0" borderId="0" xfId="1" applyNumberFormat="1" applyFont="1" applyFill="1" applyBorder="1"/>
    <xf numFmtId="0" fontId="4" fillId="0" borderId="0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0" fontId="4" fillId="0" borderId="7" xfId="4" applyFont="1" applyBorder="1"/>
    <xf numFmtId="0" fontId="4" fillId="0" borderId="8" xfId="4" applyFont="1" applyBorder="1"/>
    <xf numFmtId="0" fontId="4" fillId="0" borderId="8" xfId="4" applyFont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5" fontId="4" fillId="0" borderId="7" xfId="2" applyNumberFormat="1" applyFont="1" applyBorder="1"/>
    <xf numFmtId="10" fontId="4" fillId="0" borderId="9" xfId="3" applyNumberFormat="1" applyFont="1" applyBorder="1"/>
    <xf numFmtId="10" fontId="4" fillId="0" borderId="9" xfId="4" applyNumberFormat="1" applyFont="1" applyBorder="1"/>
    <xf numFmtId="165" fontId="4" fillId="0" borderId="0" xfId="4" applyNumberFormat="1" applyFont="1"/>
    <xf numFmtId="0" fontId="6" fillId="0" borderId="0" xfId="4" applyFont="1" applyAlignment="1">
      <alignment horizontal="center"/>
    </xf>
    <xf numFmtId="10" fontId="6" fillId="0" borderId="0" xfId="4" applyNumberFormat="1" applyFont="1"/>
    <xf numFmtId="0" fontId="7" fillId="0" borderId="0" xfId="4" applyFont="1"/>
    <xf numFmtId="0" fontId="2" fillId="0" borderId="0" xfId="4"/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center"/>
    </xf>
    <xf numFmtId="0" fontId="9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0" fillId="0" borderId="0" xfId="5" applyFont="1"/>
    <xf numFmtId="10" fontId="10" fillId="0" borderId="0" xfId="5" applyNumberFormat="1" applyFont="1" applyAlignment="1">
      <alignment horizontal="right"/>
    </xf>
    <xf numFmtId="10" fontId="10" fillId="0" borderId="0" xfId="5" applyNumberFormat="1" applyFont="1"/>
    <xf numFmtId="0" fontId="10" fillId="0" borderId="0" xfId="6" applyFont="1" applyAlignment="1">
      <alignment horizontal="center"/>
    </xf>
    <xf numFmtId="44" fontId="9" fillId="0" borderId="8" xfId="2" applyFont="1" applyBorder="1" applyAlignment="1">
      <alignment horizontal="center"/>
    </xf>
    <xf numFmtId="17" fontId="9" fillId="0" borderId="8" xfId="5" applyNumberFormat="1" applyFont="1" applyBorder="1" applyAlignment="1">
      <alignment horizontal="center"/>
    </xf>
    <xf numFmtId="0" fontId="9" fillId="0" borderId="8" xfId="5" applyFont="1" applyBorder="1" applyAlignment="1">
      <alignment horizontal="center"/>
    </xf>
    <xf numFmtId="0" fontId="11" fillId="0" borderId="0" xfId="5" applyFont="1" applyAlignment="1">
      <alignment horizontal="center"/>
    </xf>
    <xf numFmtId="44" fontId="11" fillId="0" borderId="0" xfId="2" applyFont="1" applyAlignment="1">
      <alignment horizontal="center"/>
    </xf>
    <xf numFmtId="37" fontId="10" fillId="0" borderId="0" xfId="5" applyNumberFormat="1" applyFont="1" applyAlignment="1" applyProtection="1">
      <alignment horizontal="center"/>
      <protection locked="0"/>
    </xf>
    <xf numFmtId="7" fontId="10" fillId="0" borderId="0" xfId="5" applyNumberFormat="1" applyFont="1" applyAlignment="1">
      <alignment horizontal="center"/>
    </xf>
    <xf numFmtId="166" fontId="10" fillId="0" borderId="0" xfId="7" applyNumberFormat="1" applyFont="1" applyAlignment="1">
      <alignment horizontal="center"/>
    </xf>
    <xf numFmtId="7" fontId="2" fillId="0" borderId="0" xfId="4" applyNumberFormat="1"/>
    <xf numFmtId="37" fontId="12" fillId="0" borderId="0" xfId="5" applyNumberFormat="1" applyFont="1" applyAlignment="1" applyProtection="1">
      <alignment horizontal="center"/>
      <protection locked="0"/>
    </xf>
    <xf numFmtId="44" fontId="10" fillId="0" borderId="0" xfId="2" applyFont="1" applyAlignment="1">
      <alignment horizontal="center"/>
    </xf>
    <xf numFmtId="7" fontId="10" fillId="0" borderId="0" xfId="5" applyNumberFormat="1" applyFont="1"/>
    <xf numFmtId="37" fontId="9" fillId="0" borderId="0" xfId="5" applyNumberFormat="1" applyFont="1" applyAlignment="1" applyProtection="1">
      <alignment horizontal="center"/>
      <protection locked="0"/>
    </xf>
    <xf numFmtId="7" fontId="9" fillId="0" borderId="0" xfId="5" applyNumberFormat="1" applyFont="1" applyAlignment="1">
      <alignment horizontal="center"/>
    </xf>
    <xf numFmtId="44" fontId="9" fillId="0" borderId="0" xfId="2" applyFont="1" applyAlignment="1">
      <alignment horizontal="center"/>
    </xf>
    <xf numFmtId="7" fontId="9" fillId="0" borderId="0" xfId="5" applyNumberFormat="1" applyFont="1"/>
    <xf numFmtId="0" fontId="10" fillId="0" borderId="0" xfId="8" applyFont="1"/>
    <xf numFmtId="44" fontId="10" fillId="0" borderId="0" xfId="2" applyFont="1"/>
    <xf numFmtId="17" fontId="13" fillId="0" borderId="0" xfId="9" quotePrefix="1" applyNumberFormat="1" applyFont="1" applyAlignment="1">
      <alignment horizontal="right"/>
    </xf>
    <xf numFmtId="17" fontId="13" fillId="0" borderId="0" xfId="2" applyNumberFormat="1" applyFont="1" applyAlignment="1"/>
    <xf numFmtId="43" fontId="10" fillId="0" borderId="0" xfId="9" applyFont="1"/>
    <xf numFmtId="43" fontId="14" fillId="0" borderId="0" xfId="9" quotePrefix="1" applyFont="1" applyAlignment="1">
      <alignment horizontal="right"/>
    </xf>
    <xf numFmtId="43" fontId="14" fillId="0" borderId="0" xfId="9" applyFont="1" applyAlignment="1">
      <alignment horizontal="right"/>
    </xf>
    <xf numFmtId="43" fontId="15" fillId="0" borderId="0" xfId="9" applyFont="1" applyAlignment="1">
      <alignment horizontal="right"/>
    </xf>
    <xf numFmtId="44" fontId="15" fillId="0" borderId="0" xfId="2" applyFont="1" applyAlignment="1">
      <alignment horizontal="right"/>
    </xf>
    <xf numFmtId="43" fontId="16" fillId="0" borderId="0" xfId="9" applyFont="1" applyAlignment="1">
      <alignment horizontal="right"/>
    </xf>
    <xf numFmtId="7" fontId="13" fillId="0" borderId="0" xfId="10" applyNumberFormat="1" applyFont="1"/>
    <xf numFmtId="9" fontId="14" fillId="0" borderId="0" xfId="3" applyFont="1"/>
    <xf numFmtId="7" fontId="14" fillId="0" borderId="0" xfId="10" applyNumberFormat="1" applyFont="1"/>
    <xf numFmtId="0" fontId="13" fillId="0" borderId="0" xfId="10" applyFont="1" applyAlignment="1">
      <alignment horizontal="left"/>
    </xf>
    <xf numFmtId="167" fontId="13" fillId="0" borderId="0" xfId="10" applyNumberFormat="1" applyFont="1"/>
    <xf numFmtId="167" fontId="14" fillId="0" borderId="0" xfId="10" applyNumberFormat="1" applyFont="1"/>
    <xf numFmtId="167" fontId="2" fillId="0" borderId="0" xfId="4" applyNumberFormat="1"/>
    <xf numFmtId="0" fontId="10" fillId="0" borderId="0" xfId="10" applyFont="1" applyAlignment="1">
      <alignment horizontal="left"/>
    </xf>
    <xf numFmtId="17" fontId="13" fillId="0" borderId="0" xfId="9" applyNumberFormat="1" applyFont="1" applyAlignment="1">
      <alignment horizontal="right"/>
    </xf>
    <xf numFmtId="0" fontId="9" fillId="0" borderId="0" xfId="5" quotePrefix="1" applyFont="1" applyAlignment="1">
      <alignment horizontal="center" vertical="center"/>
    </xf>
    <xf numFmtId="0" fontId="9" fillId="0" borderId="0" xfId="5" quotePrefix="1" applyFont="1" applyAlignment="1">
      <alignment horizontal="center"/>
    </xf>
    <xf numFmtId="0" fontId="9" fillId="0" borderId="0" xfId="5" quotePrefix="1" applyFont="1" applyAlignment="1">
      <alignment horizontal="center"/>
    </xf>
    <xf numFmtId="9" fontId="10" fillId="0" borderId="0" xfId="11" applyFont="1"/>
    <xf numFmtId="0" fontId="9" fillId="0" borderId="0" xfId="5" applyFont="1"/>
    <xf numFmtId="168" fontId="10" fillId="0" borderId="0" xfId="8" applyNumberFormat="1" applyFont="1"/>
    <xf numFmtId="0" fontId="10" fillId="0" borderId="0" xfId="12" applyFont="1" applyAlignment="1">
      <alignment horizontal="center"/>
    </xf>
    <xf numFmtId="0" fontId="9" fillId="0" borderId="0" xfId="8" applyFont="1" applyAlignment="1">
      <alignment horizontal="right"/>
    </xf>
    <xf numFmtId="0" fontId="10" fillId="0" borderId="0" xfId="8" applyFont="1" applyAlignment="1">
      <alignment horizontal="center"/>
    </xf>
    <xf numFmtId="10" fontId="10" fillId="0" borderId="0" xfId="8" applyNumberFormat="1" applyFont="1"/>
    <xf numFmtId="37" fontId="10" fillId="0" borderId="0" xfId="8" applyNumberFormat="1" applyFont="1" applyAlignment="1">
      <alignment horizontal="center"/>
    </xf>
    <xf numFmtId="7" fontId="10" fillId="0" borderId="0" xfId="8" applyNumberFormat="1" applyFont="1" applyAlignment="1">
      <alignment horizontal="center"/>
    </xf>
    <xf numFmtId="7" fontId="10" fillId="0" borderId="0" xfId="8" applyNumberFormat="1" applyFont="1"/>
    <xf numFmtId="166" fontId="10" fillId="0" borderId="0" xfId="11" applyNumberFormat="1" applyFont="1" applyAlignment="1">
      <alignment horizontal="center"/>
    </xf>
    <xf numFmtId="0" fontId="10" fillId="0" borderId="0" xfId="12" applyFont="1"/>
    <xf numFmtId="7" fontId="18" fillId="0" borderId="0" xfId="13" applyNumberFormat="1" applyFont="1" applyAlignment="1">
      <alignment horizontal="right"/>
    </xf>
    <xf numFmtId="0" fontId="19" fillId="0" borderId="0" xfId="0" applyFont="1"/>
    <xf numFmtId="0" fontId="9" fillId="0" borderId="0" xfId="14" applyFont="1"/>
    <xf numFmtId="0" fontId="9" fillId="0" borderId="0" xfId="14" applyFont="1" applyAlignment="1">
      <alignment horizontal="center"/>
    </xf>
    <xf numFmtId="0" fontId="12" fillId="0" borderId="0" xfId="8" applyFont="1"/>
    <xf numFmtId="0" fontId="11" fillId="0" borderId="0" xfId="8" applyFont="1" applyAlignment="1">
      <alignment horizontal="center"/>
    </xf>
    <xf numFmtId="165" fontId="11" fillId="0" borderId="0" xfId="2" applyNumberFormat="1" applyFont="1" applyAlignment="1">
      <alignment horizontal="center"/>
    </xf>
    <xf numFmtId="9" fontId="11" fillId="0" borderId="0" xfId="3" applyFont="1" applyAlignment="1">
      <alignment horizontal="center"/>
    </xf>
    <xf numFmtId="37" fontId="10" fillId="0" borderId="0" xfId="8" applyNumberFormat="1" applyFont="1" applyAlignment="1" applyProtection="1">
      <alignment horizontal="center"/>
      <protection locked="0"/>
    </xf>
    <xf numFmtId="165" fontId="10" fillId="0" borderId="0" xfId="2" applyNumberFormat="1" applyFont="1" applyAlignment="1">
      <alignment horizontal="center"/>
    </xf>
    <xf numFmtId="166" fontId="10" fillId="0" borderId="0" xfId="3" applyNumberFormat="1" applyFont="1" applyAlignment="1">
      <alignment horizontal="center"/>
    </xf>
    <xf numFmtId="166" fontId="11" fillId="0" borderId="0" xfId="3" applyNumberFormat="1" applyFont="1" applyAlignment="1">
      <alignment horizontal="center"/>
    </xf>
    <xf numFmtId="37" fontId="9" fillId="0" borderId="0" xfId="8" applyNumberFormat="1" applyFont="1" applyAlignment="1">
      <alignment horizontal="center"/>
    </xf>
    <xf numFmtId="165" fontId="9" fillId="0" borderId="0" xfId="2" applyNumberFormat="1" applyFont="1" applyAlignment="1">
      <alignment horizontal="center"/>
    </xf>
    <xf numFmtId="7" fontId="9" fillId="0" borderId="0" xfId="8" applyNumberFormat="1" applyFont="1" applyAlignment="1">
      <alignment horizontal="center"/>
    </xf>
    <xf numFmtId="7" fontId="9" fillId="0" borderId="0" xfId="8" applyNumberFormat="1" applyFont="1"/>
    <xf numFmtId="166" fontId="9" fillId="0" borderId="0" xfId="3" applyNumberFormat="1" applyFont="1" applyAlignment="1">
      <alignment horizontal="center"/>
    </xf>
    <xf numFmtId="37" fontId="9" fillId="0" borderId="0" xfId="8" applyNumberFormat="1" applyFont="1" applyAlignment="1" applyProtection="1">
      <alignment horizontal="center"/>
      <protection locked="0"/>
    </xf>
    <xf numFmtId="166" fontId="9" fillId="0" borderId="0" xfId="11" applyNumberFormat="1" applyFont="1" applyAlignment="1">
      <alignment horizontal="center"/>
    </xf>
    <xf numFmtId="166" fontId="10" fillId="0" borderId="0" xfId="8" applyNumberFormat="1" applyFont="1"/>
    <xf numFmtId="7" fontId="10" fillId="0" borderId="0" xfId="12" applyNumberFormat="1" applyFont="1"/>
    <xf numFmtId="43" fontId="10" fillId="0" borderId="0" xfId="1" applyFont="1"/>
    <xf numFmtId="9" fontId="10" fillId="0" borderId="0" xfId="3" applyFont="1"/>
    <xf numFmtId="10" fontId="10" fillId="0" borderId="0" xfId="8" applyNumberFormat="1" applyFont="1" applyAlignment="1">
      <alignment horizontal="right"/>
    </xf>
    <xf numFmtId="8" fontId="9" fillId="0" borderId="0" xfId="8" applyNumberFormat="1" applyFont="1" applyAlignment="1">
      <alignment horizontal="center"/>
    </xf>
    <xf numFmtId="39" fontId="9" fillId="0" borderId="0" xfId="8" applyNumberFormat="1" applyFont="1"/>
    <xf numFmtId="0" fontId="9" fillId="0" borderId="0" xfId="8" applyFont="1"/>
    <xf numFmtId="7" fontId="10" fillId="0" borderId="0" xfId="13" applyNumberFormat="1" applyFont="1"/>
    <xf numFmtId="0" fontId="10" fillId="0" borderId="0" xfId="15" applyFont="1" applyAlignment="1">
      <alignment horizontal="left"/>
    </xf>
    <xf numFmtId="7" fontId="20" fillId="0" borderId="0" xfId="8" applyNumberFormat="1" applyFont="1"/>
    <xf numFmtId="7" fontId="10" fillId="0" borderId="0" xfId="9" applyNumberFormat="1" applyFont="1"/>
    <xf numFmtId="165" fontId="10" fillId="0" borderId="0" xfId="2" applyNumberFormat="1" applyFont="1" applyFill="1" applyAlignment="1">
      <alignment horizontal="center"/>
    </xf>
    <xf numFmtId="166" fontId="10" fillId="0" borderId="0" xfId="11" applyNumberFormat="1" applyFont="1" applyFill="1" applyAlignment="1">
      <alignment horizontal="center"/>
    </xf>
    <xf numFmtId="166" fontId="9" fillId="0" borderId="0" xfId="11" applyNumberFormat="1" applyFont="1" applyFill="1" applyAlignment="1">
      <alignment horizontal="center"/>
    </xf>
    <xf numFmtId="17" fontId="13" fillId="0" borderId="0" xfId="9" applyNumberFormat="1" applyFont="1" applyFill="1" applyAlignment="1">
      <alignment horizontal="right"/>
    </xf>
    <xf numFmtId="7" fontId="18" fillId="0" borderId="0" xfId="13" applyNumberFormat="1" applyFont="1" applyFill="1" applyAlignment="1">
      <alignment horizontal="right"/>
    </xf>
    <xf numFmtId="7" fontId="21" fillId="0" borderId="0" xfId="13" applyNumberFormat="1" applyFont="1" applyFill="1"/>
    <xf numFmtId="7" fontId="10" fillId="0" borderId="0" xfId="13" applyNumberFormat="1" applyFont="1" applyFill="1"/>
    <xf numFmtId="0" fontId="10" fillId="0" borderId="0" xfId="15" applyFont="1"/>
    <xf numFmtId="9" fontId="10" fillId="0" borderId="0" xfId="15" applyNumberFormat="1" applyFont="1" applyProtection="1">
      <protection locked="0"/>
    </xf>
  </cellXfs>
  <cellStyles count="16">
    <cellStyle name="Comma" xfId="1" builtinId="3"/>
    <cellStyle name="Comma 10" xfId="9" xr:uid="{F4CE74B3-9955-458A-9858-2CB3722F7F4F}"/>
    <cellStyle name="Currency" xfId="2" builtinId="4"/>
    <cellStyle name="Currency 2" xfId="13" xr:uid="{D1F81AD1-6B77-4230-9C25-81117B1E6735}"/>
    <cellStyle name="Normal" xfId="0" builtinId="0"/>
    <cellStyle name="Normal 12 2" xfId="10" xr:uid="{C8815C6D-4D9F-4A84-98A5-BCC7688D63C8}"/>
    <cellStyle name="Normal 2" xfId="12" xr:uid="{DC4371EC-2E9C-42B9-8B35-A9D881C7FEA1}"/>
    <cellStyle name="Normal 3" xfId="4" xr:uid="{F630B342-A557-46D7-BC45-A0D63A0808B8}"/>
    <cellStyle name="Normal_REGULAR R-1" xfId="5" xr:uid="{9FFD1D4F-292D-44CB-864C-108070A284E3}"/>
    <cellStyle name="Normal_REGULAR R-1_NSTAR Electric - BECo Rate Design Model" xfId="8" xr:uid="{9D0ABB8E-9DD9-486F-B2F9-43ADCDE219AA}"/>
    <cellStyle name="Normal_REGULAR R-1_NSTAR Electric - Comm Rate Design Model" xfId="14" xr:uid="{6BC1F218-04CA-489D-9762-05DE1CD758A7}"/>
    <cellStyle name="Normal_Revenue Shift" xfId="6" xr:uid="{73FEDE68-5301-4280-B827-F7C94499A93D}"/>
    <cellStyle name="Normal_T-0 SM GEN TOU_NSTAR Electric - BECo Rate Design Model" xfId="15" xr:uid="{AA3DE51E-D5CD-4BFD-896F-CAFD84062171}"/>
    <cellStyle name="Percent" xfId="3" builtinId="5"/>
    <cellStyle name="Percent 2" xfId="11" xr:uid="{516A254B-6E6F-4965-AF52-FA68F0F21A1C}"/>
    <cellStyle name="Percent 5 2" xfId="7" xr:uid="{52CAEEF1-A305-4F98-96C2-E38CD44DF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5DF8-37CF-4A10-B158-03E986A69A4B}">
  <sheetPr codeName="Sheet30"/>
  <dimension ref="B1:V47"/>
  <sheetViews>
    <sheetView showGridLines="0" tabSelected="1" zoomScaleNormal="100" workbookViewId="0"/>
  </sheetViews>
  <sheetFormatPr defaultRowHeight="12.75" x14ac:dyDescent="0.2"/>
  <cols>
    <col min="1" max="1" width="3" style="2" customWidth="1"/>
    <col min="2" max="2" width="50.42578125" style="2" customWidth="1"/>
    <col min="3" max="3" width="7.140625" style="2" customWidth="1"/>
    <col min="4" max="4" width="9.5703125" style="2" bestFit="1" customWidth="1"/>
    <col min="5" max="5" width="11.140625" style="2" customWidth="1"/>
    <col min="6" max="9" width="14.5703125" style="2" customWidth="1"/>
    <col min="10" max="223" width="9.140625" style="2"/>
    <col min="224" max="224" width="18.5703125" style="2" customWidth="1"/>
    <col min="225" max="225" width="45.140625" style="2" customWidth="1"/>
    <col min="226" max="226" width="13" style="2" customWidth="1"/>
    <col min="227" max="227" width="10.85546875" style="2" customWidth="1"/>
    <col min="228" max="228" width="12.140625" style="2" customWidth="1"/>
    <col min="229" max="229" width="13.140625" style="2" customWidth="1"/>
    <col min="230" max="230" width="12.140625" style="2" customWidth="1"/>
    <col min="231" max="232" width="17.5703125" style="2" customWidth="1"/>
    <col min="233" max="234" width="17" style="2" customWidth="1"/>
    <col min="235" max="236" width="12.28515625" style="2" customWidth="1"/>
    <col min="237" max="237" width="1.85546875" style="2" customWidth="1"/>
    <col min="238" max="239" width="23.85546875" style="2" customWidth="1"/>
    <col min="240" max="243" width="16.28515625" style="2" customWidth="1"/>
    <col min="244" max="479" width="9.140625" style="2"/>
    <col min="480" max="480" width="18.5703125" style="2" customWidth="1"/>
    <col min="481" max="481" width="45.140625" style="2" customWidth="1"/>
    <col min="482" max="482" width="13" style="2" customWidth="1"/>
    <col min="483" max="483" width="10.85546875" style="2" customWidth="1"/>
    <col min="484" max="484" width="12.140625" style="2" customWidth="1"/>
    <col min="485" max="485" width="13.140625" style="2" customWidth="1"/>
    <col min="486" max="486" width="12.140625" style="2" customWidth="1"/>
    <col min="487" max="488" width="17.5703125" style="2" customWidth="1"/>
    <col min="489" max="490" width="17" style="2" customWidth="1"/>
    <col min="491" max="492" width="12.28515625" style="2" customWidth="1"/>
    <col min="493" max="493" width="1.85546875" style="2" customWidth="1"/>
    <col min="494" max="495" width="23.85546875" style="2" customWidth="1"/>
    <col min="496" max="499" width="16.28515625" style="2" customWidth="1"/>
    <col min="500" max="735" width="9.140625" style="2"/>
    <col min="736" max="736" width="18.5703125" style="2" customWidth="1"/>
    <col min="737" max="737" width="45.140625" style="2" customWidth="1"/>
    <col min="738" max="738" width="13" style="2" customWidth="1"/>
    <col min="739" max="739" width="10.85546875" style="2" customWidth="1"/>
    <col min="740" max="740" width="12.140625" style="2" customWidth="1"/>
    <col min="741" max="741" width="13.140625" style="2" customWidth="1"/>
    <col min="742" max="742" width="12.140625" style="2" customWidth="1"/>
    <col min="743" max="744" width="17.5703125" style="2" customWidth="1"/>
    <col min="745" max="746" width="17" style="2" customWidth="1"/>
    <col min="747" max="748" width="12.28515625" style="2" customWidth="1"/>
    <col min="749" max="749" width="1.85546875" style="2" customWidth="1"/>
    <col min="750" max="751" width="23.85546875" style="2" customWidth="1"/>
    <col min="752" max="755" width="16.28515625" style="2" customWidth="1"/>
    <col min="756" max="991" width="9.140625" style="2"/>
    <col min="992" max="992" width="18.5703125" style="2" customWidth="1"/>
    <col min="993" max="993" width="45.140625" style="2" customWidth="1"/>
    <col min="994" max="994" width="13" style="2" customWidth="1"/>
    <col min="995" max="995" width="10.85546875" style="2" customWidth="1"/>
    <col min="996" max="996" width="12.140625" style="2" customWidth="1"/>
    <col min="997" max="997" width="13.140625" style="2" customWidth="1"/>
    <col min="998" max="998" width="12.140625" style="2" customWidth="1"/>
    <col min="999" max="1000" width="17.5703125" style="2" customWidth="1"/>
    <col min="1001" max="1002" width="17" style="2" customWidth="1"/>
    <col min="1003" max="1004" width="12.28515625" style="2" customWidth="1"/>
    <col min="1005" max="1005" width="1.85546875" style="2" customWidth="1"/>
    <col min="1006" max="1007" width="23.85546875" style="2" customWidth="1"/>
    <col min="1008" max="1011" width="16.28515625" style="2" customWidth="1"/>
    <col min="1012" max="1247" width="9.140625" style="2"/>
    <col min="1248" max="1248" width="18.5703125" style="2" customWidth="1"/>
    <col min="1249" max="1249" width="45.140625" style="2" customWidth="1"/>
    <col min="1250" max="1250" width="13" style="2" customWidth="1"/>
    <col min="1251" max="1251" width="10.85546875" style="2" customWidth="1"/>
    <col min="1252" max="1252" width="12.140625" style="2" customWidth="1"/>
    <col min="1253" max="1253" width="13.140625" style="2" customWidth="1"/>
    <col min="1254" max="1254" width="12.140625" style="2" customWidth="1"/>
    <col min="1255" max="1256" width="17.5703125" style="2" customWidth="1"/>
    <col min="1257" max="1258" width="17" style="2" customWidth="1"/>
    <col min="1259" max="1260" width="12.28515625" style="2" customWidth="1"/>
    <col min="1261" max="1261" width="1.85546875" style="2" customWidth="1"/>
    <col min="1262" max="1263" width="23.85546875" style="2" customWidth="1"/>
    <col min="1264" max="1267" width="16.28515625" style="2" customWidth="1"/>
    <col min="1268" max="1503" width="9.140625" style="2"/>
    <col min="1504" max="1504" width="18.5703125" style="2" customWidth="1"/>
    <col min="1505" max="1505" width="45.140625" style="2" customWidth="1"/>
    <col min="1506" max="1506" width="13" style="2" customWidth="1"/>
    <col min="1507" max="1507" width="10.85546875" style="2" customWidth="1"/>
    <col min="1508" max="1508" width="12.140625" style="2" customWidth="1"/>
    <col min="1509" max="1509" width="13.140625" style="2" customWidth="1"/>
    <col min="1510" max="1510" width="12.140625" style="2" customWidth="1"/>
    <col min="1511" max="1512" width="17.5703125" style="2" customWidth="1"/>
    <col min="1513" max="1514" width="17" style="2" customWidth="1"/>
    <col min="1515" max="1516" width="12.28515625" style="2" customWidth="1"/>
    <col min="1517" max="1517" width="1.85546875" style="2" customWidth="1"/>
    <col min="1518" max="1519" width="23.85546875" style="2" customWidth="1"/>
    <col min="1520" max="1523" width="16.28515625" style="2" customWidth="1"/>
    <col min="1524" max="1759" width="9.140625" style="2"/>
    <col min="1760" max="1760" width="18.5703125" style="2" customWidth="1"/>
    <col min="1761" max="1761" width="45.140625" style="2" customWidth="1"/>
    <col min="1762" max="1762" width="13" style="2" customWidth="1"/>
    <col min="1763" max="1763" width="10.85546875" style="2" customWidth="1"/>
    <col min="1764" max="1764" width="12.140625" style="2" customWidth="1"/>
    <col min="1765" max="1765" width="13.140625" style="2" customWidth="1"/>
    <col min="1766" max="1766" width="12.140625" style="2" customWidth="1"/>
    <col min="1767" max="1768" width="17.5703125" style="2" customWidth="1"/>
    <col min="1769" max="1770" width="17" style="2" customWidth="1"/>
    <col min="1771" max="1772" width="12.28515625" style="2" customWidth="1"/>
    <col min="1773" max="1773" width="1.85546875" style="2" customWidth="1"/>
    <col min="1774" max="1775" width="23.85546875" style="2" customWidth="1"/>
    <col min="1776" max="1779" width="16.28515625" style="2" customWidth="1"/>
    <col min="1780" max="2015" width="9.140625" style="2"/>
    <col min="2016" max="2016" width="18.5703125" style="2" customWidth="1"/>
    <col min="2017" max="2017" width="45.140625" style="2" customWidth="1"/>
    <col min="2018" max="2018" width="13" style="2" customWidth="1"/>
    <col min="2019" max="2019" width="10.85546875" style="2" customWidth="1"/>
    <col min="2020" max="2020" width="12.140625" style="2" customWidth="1"/>
    <col min="2021" max="2021" width="13.140625" style="2" customWidth="1"/>
    <col min="2022" max="2022" width="12.140625" style="2" customWidth="1"/>
    <col min="2023" max="2024" width="17.5703125" style="2" customWidth="1"/>
    <col min="2025" max="2026" width="17" style="2" customWidth="1"/>
    <col min="2027" max="2028" width="12.28515625" style="2" customWidth="1"/>
    <col min="2029" max="2029" width="1.85546875" style="2" customWidth="1"/>
    <col min="2030" max="2031" width="23.85546875" style="2" customWidth="1"/>
    <col min="2032" max="2035" width="16.28515625" style="2" customWidth="1"/>
    <col min="2036" max="2271" width="9.140625" style="2"/>
    <col min="2272" max="2272" width="18.5703125" style="2" customWidth="1"/>
    <col min="2273" max="2273" width="45.140625" style="2" customWidth="1"/>
    <col min="2274" max="2274" width="13" style="2" customWidth="1"/>
    <col min="2275" max="2275" width="10.85546875" style="2" customWidth="1"/>
    <col min="2276" max="2276" width="12.140625" style="2" customWidth="1"/>
    <col min="2277" max="2277" width="13.140625" style="2" customWidth="1"/>
    <col min="2278" max="2278" width="12.140625" style="2" customWidth="1"/>
    <col min="2279" max="2280" width="17.5703125" style="2" customWidth="1"/>
    <col min="2281" max="2282" width="17" style="2" customWidth="1"/>
    <col min="2283" max="2284" width="12.28515625" style="2" customWidth="1"/>
    <col min="2285" max="2285" width="1.85546875" style="2" customWidth="1"/>
    <col min="2286" max="2287" width="23.85546875" style="2" customWidth="1"/>
    <col min="2288" max="2291" width="16.28515625" style="2" customWidth="1"/>
    <col min="2292" max="2527" width="9.140625" style="2"/>
    <col min="2528" max="2528" width="18.5703125" style="2" customWidth="1"/>
    <col min="2529" max="2529" width="45.140625" style="2" customWidth="1"/>
    <col min="2530" max="2530" width="13" style="2" customWidth="1"/>
    <col min="2531" max="2531" width="10.85546875" style="2" customWidth="1"/>
    <col min="2532" max="2532" width="12.140625" style="2" customWidth="1"/>
    <col min="2533" max="2533" width="13.140625" style="2" customWidth="1"/>
    <col min="2534" max="2534" width="12.140625" style="2" customWidth="1"/>
    <col min="2535" max="2536" width="17.5703125" style="2" customWidth="1"/>
    <col min="2537" max="2538" width="17" style="2" customWidth="1"/>
    <col min="2539" max="2540" width="12.28515625" style="2" customWidth="1"/>
    <col min="2541" max="2541" width="1.85546875" style="2" customWidth="1"/>
    <col min="2542" max="2543" width="23.85546875" style="2" customWidth="1"/>
    <col min="2544" max="2547" width="16.28515625" style="2" customWidth="1"/>
    <col min="2548" max="2783" width="9.140625" style="2"/>
    <col min="2784" max="2784" width="18.5703125" style="2" customWidth="1"/>
    <col min="2785" max="2785" width="45.140625" style="2" customWidth="1"/>
    <col min="2786" max="2786" width="13" style="2" customWidth="1"/>
    <col min="2787" max="2787" width="10.85546875" style="2" customWidth="1"/>
    <col min="2788" max="2788" width="12.140625" style="2" customWidth="1"/>
    <col min="2789" max="2789" width="13.140625" style="2" customWidth="1"/>
    <col min="2790" max="2790" width="12.140625" style="2" customWidth="1"/>
    <col min="2791" max="2792" width="17.5703125" style="2" customWidth="1"/>
    <col min="2793" max="2794" width="17" style="2" customWidth="1"/>
    <col min="2795" max="2796" width="12.28515625" style="2" customWidth="1"/>
    <col min="2797" max="2797" width="1.85546875" style="2" customWidth="1"/>
    <col min="2798" max="2799" width="23.85546875" style="2" customWidth="1"/>
    <col min="2800" max="2803" width="16.28515625" style="2" customWidth="1"/>
    <col min="2804" max="3039" width="9.140625" style="2"/>
    <col min="3040" max="3040" width="18.5703125" style="2" customWidth="1"/>
    <col min="3041" max="3041" width="45.140625" style="2" customWidth="1"/>
    <col min="3042" max="3042" width="13" style="2" customWidth="1"/>
    <col min="3043" max="3043" width="10.85546875" style="2" customWidth="1"/>
    <col min="3044" max="3044" width="12.140625" style="2" customWidth="1"/>
    <col min="3045" max="3045" width="13.140625" style="2" customWidth="1"/>
    <col min="3046" max="3046" width="12.140625" style="2" customWidth="1"/>
    <col min="3047" max="3048" width="17.5703125" style="2" customWidth="1"/>
    <col min="3049" max="3050" width="17" style="2" customWidth="1"/>
    <col min="3051" max="3052" width="12.28515625" style="2" customWidth="1"/>
    <col min="3053" max="3053" width="1.85546875" style="2" customWidth="1"/>
    <col min="3054" max="3055" width="23.85546875" style="2" customWidth="1"/>
    <col min="3056" max="3059" width="16.28515625" style="2" customWidth="1"/>
    <col min="3060" max="3295" width="9.140625" style="2"/>
    <col min="3296" max="3296" width="18.5703125" style="2" customWidth="1"/>
    <col min="3297" max="3297" width="45.140625" style="2" customWidth="1"/>
    <col min="3298" max="3298" width="13" style="2" customWidth="1"/>
    <col min="3299" max="3299" width="10.85546875" style="2" customWidth="1"/>
    <col min="3300" max="3300" width="12.140625" style="2" customWidth="1"/>
    <col min="3301" max="3301" width="13.140625" style="2" customWidth="1"/>
    <col min="3302" max="3302" width="12.140625" style="2" customWidth="1"/>
    <col min="3303" max="3304" width="17.5703125" style="2" customWidth="1"/>
    <col min="3305" max="3306" width="17" style="2" customWidth="1"/>
    <col min="3307" max="3308" width="12.28515625" style="2" customWidth="1"/>
    <col min="3309" max="3309" width="1.85546875" style="2" customWidth="1"/>
    <col min="3310" max="3311" width="23.85546875" style="2" customWidth="1"/>
    <col min="3312" max="3315" width="16.28515625" style="2" customWidth="1"/>
    <col min="3316" max="3551" width="9.140625" style="2"/>
    <col min="3552" max="3552" width="18.5703125" style="2" customWidth="1"/>
    <col min="3553" max="3553" width="45.140625" style="2" customWidth="1"/>
    <col min="3554" max="3554" width="13" style="2" customWidth="1"/>
    <col min="3555" max="3555" width="10.85546875" style="2" customWidth="1"/>
    <col min="3556" max="3556" width="12.140625" style="2" customWidth="1"/>
    <col min="3557" max="3557" width="13.140625" style="2" customWidth="1"/>
    <col min="3558" max="3558" width="12.140625" style="2" customWidth="1"/>
    <col min="3559" max="3560" width="17.5703125" style="2" customWidth="1"/>
    <col min="3561" max="3562" width="17" style="2" customWidth="1"/>
    <col min="3563" max="3564" width="12.28515625" style="2" customWidth="1"/>
    <col min="3565" max="3565" width="1.85546875" style="2" customWidth="1"/>
    <col min="3566" max="3567" width="23.85546875" style="2" customWidth="1"/>
    <col min="3568" max="3571" width="16.28515625" style="2" customWidth="1"/>
    <col min="3572" max="3807" width="9.140625" style="2"/>
    <col min="3808" max="3808" width="18.5703125" style="2" customWidth="1"/>
    <col min="3809" max="3809" width="45.140625" style="2" customWidth="1"/>
    <col min="3810" max="3810" width="13" style="2" customWidth="1"/>
    <col min="3811" max="3811" width="10.85546875" style="2" customWidth="1"/>
    <col min="3812" max="3812" width="12.140625" style="2" customWidth="1"/>
    <col min="3813" max="3813" width="13.140625" style="2" customWidth="1"/>
    <col min="3814" max="3814" width="12.140625" style="2" customWidth="1"/>
    <col min="3815" max="3816" width="17.5703125" style="2" customWidth="1"/>
    <col min="3817" max="3818" width="17" style="2" customWidth="1"/>
    <col min="3819" max="3820" width="12.28515625" style="2" customWidth="1"/>
    <col min="3821" max="3821" width="1.85546875" style="2" customWidth="1"/>
    <col min="3822" max="3823" width="23.85546875" style="2" customWidth="1"/>
    <col min="3824" max="3827" width="16.28515625" style="2" customWidth="1"/>
    <col min="3828" max="4063" width="9.140625" style="2"/>
    <col min="4064" max="4064" width="18.5703125" style="2" customWidth="1"/>
    <col min="4065" max="4065" width="45.140625" style="2" customWidth="1"/>
    <col min="4066" max="4066" width="13" style="2" customWidth="1"/>
    <col min="4067" max="4067" width="10.85546875" style="2" customWidth="1"/>
    <col min="4068" max="4068" width="12.140625" style="2" customWidth="1"/>
    <col min="4069" max="4069" width="13.140625" style="2" customWidth="1"/>
    <col min="4070" max="4070" width="12.140625" style="2" customWidth="1"/>
    <col min="4071" max="4072" width="17.5703125" style="2" customWidth="1"/>
    <col min="4073" max="4074" width="17" style="2" customWidth="1"/>
    <col min="4075" max="4076" width="12.28515625" style="2" customWidth="1"/>
    <col min="4077" max="4077" width="1.85546875" style="2" customWidth="1"/>
    <col min="4078" max="4079" width="23.85546875" style="2" customWidth="1"/>
    <col min="4080" max="4083" width="16.28515625" style="2" customWidth="1"/>
    <col min="4084" max="4319" width="9.140625" style="2"/>
    <col min="4320" max="4320" width="18.5703125" style="2" customWidth="1"/>
    <col min="4321" max="4321" width="45.140625" style="2" customWidth="1"/>
    <col min="4322" max="4322" width="13" style="2" customWidth="1"/>
    <col min="4323" max="4323" width="10.85546875" style="2" customWidth="1"/>
    <col min="4324" max="4324" width="12.140625" style="2" customWidth="1"/>
    <col min="4325" max="4325" width="13.140625" style="2" customWidth="1"/>
    <col min="4326" max="4326" width="12.140625" style="2" customWidth="1"/>
    <col min="4327" max="4328" width="17.5703125" style="2" customWidth="1"/>
    <col min="4329" max="4330" width="17" style="2" customWidth="1"/>
    <col min="4331" max="4332" width="12.28515625" style="2" customWidth="1"/>
    <col min="4333" max="4333" width="1.85546875" style="2" customWidth="1"/>
    <col min="4334" max="4335" width="23.85546875" style="2" customWidth="1"/>
    <col min="4336" max="4339" width="16.28515625" style="2" customWidth="1"/>
    <col min="4340" max="4575" width="9.140625" style="2"/>
    <col min="4576" max="4576" width="18.5703125" style="2" customWidth="1"/>
    <col min="4577" max="4577" width="45.140625" style="2" customWidth="1"/>
    <col min="4578" max="4578" width="13" style="2" customWidth="1"/>
    <col min="4579" max="4579" width="10.85546875" style="2" customWidth="1"/>
    <col min="4580" max="4580" width="12.140625" style="2" customWidth="1"/>
    <col min="4581" max="4581" width="13.140625" style="2" customWidth="1"/>
    <col min="4582" max="4582" width="12.140625" style="2" customWidth="1"/>
    <col min="4583" max="4584" width="17.5703125" style="2" customWidth="1"/>
    <col min="4585" max="4586" width="17" style="2" customWidth="1"/>
    <col min="4587" max="4588" width="12.28515625" style="2" customWidth="1"/>
    <col min="4589" max="4589" width="1.85546875" style="2" customWidth="1"/>
    <col min="4590" max="4591" width="23.85546875" style="2" customWidth="1"/>
    <col min="4592" max="4595" width="16.28515625" style="2" customWidth="1"/>
    <col min="4596" max="4831" width="9.140625" style="2"/>
    <col min="4832" max="4832" width="18.5703125" style="2" customWidth="1"/>
    <col min="4833" max="4833" width="45.140625" style="2" customWidth="1"/>
    <col min="4834" max="4834" width="13" style="2" customWidth="1"/>
    <col min="4835" max="4835" width="10.85546875" style="2" customWidth="1"/>
    <col min="4836" max="4836" width="12.140625" style="2" customWidth="1"/>
    <col min="4837" max="4837" width="13.140625" style="2" customWidth="1"/>
    <col min="4838" max="4838" width="12.140625" style="2" customWidth="1"/>
    <col min="4839" max="4840" width="17.5703125" style="2" customWidth="1"/>
    <col min="4841" max="4842" width="17" style="2" customWidth="1"/>
    <col min="4843" max="4844" width="12.28515625" style="2" customWidth="1"/>
    <col min="4845" max="4845" width="1.85546875" style="2" customWidth="1"/>
    <col min="4846" max="4847" width="23.85546875" style="2" customWidth="1"/>
    <col min="4848" max="4851" width="16.28515625" style="2" customWidth="1"/>
    <col min="4852" max="5087" width="9.140625" style="2"/>
    <col min="5088" max="5088" width="18.5703125" style="2" customWidth="1"/>
    <col min="5089" max="5089" width="45.140625" style="2" customWidth="1"/>
    <col min="5090" max="5090" width="13" style="2" customWidth="1"/>
    <col min="5091" max="5091" width="10.85546875" style="2" customWidth="1"/>
    <col min="5092" max="5092" width="12.140625" style="2" customWidth="1"/>
    <col min="5093" max="5093" width="13.140625" style="2" customWidth="1"/>
    <col min="5094" max="5094" width="12.140625" style="2" customWidth="1"/>
    <col min="5095" max="5096" width="17.5703125" style="2" customWidth="1"/>
    <col min="5097" max="5098" width="17" style="2" customWidth="1"/>
    <col min="5099" max="5100" width="12.28515625" style="2" customWidth="1"/>
    <col min="5101" max="5101" width="1.85546875" style="2" customWidth="1"/>
    <col min="5102" max="5103" width="23.85546875" style="2" customWidth="1"/>
    <col min="5104" max="5107" width="16.28515625" style="2" customWidth="1"/>
    <col min="5108" max="5343" width="9.140625" style="2"/>
    <col min="5344" max="5344" width="18.5703125" style="2" customWidth="1"/>
    <col min="5345" max="5345" width="45.140625" style="2" customWidth="1"/>
    <col min="5346" max="5346" width="13" style="2" customWidth="1"/>
    <col min="5347" max="5347" width="10.85546875" style="2" customWidth="1"/>
    <col min="5348" max="5348" width="12.140625" style="2" customWidth="1"/>
    <col min="5349" max="5349" width="13.140625" style="2" customWidth="1"/>
    <col min="5350" max="5350" width="12.140625" style="2" customWidth="1"/>
    <col min="5351" max="5352" width="17.5703125" style="2" customWidth="1"/>
    <col min="5353" max="5354" width="17" style="2" customWidth="1"/>
    <col min="5355" max="5356" width="12.28515625" style="2" customWidth="1"/>
    <col min="5357" max="5357" width="1.85546875" style="2" customWidth="1"/>
    <col min="5358" max="5359" width="23.85546875" style="2" customWidth="1"/>
    <col min="5360" max="5363" width="16.28515625" style="2" customWidth="1"/>
    <col min="5364" max="5599" width="9.140625" style="2"/>
    <col min="5600" max="5600" width="18.5703125" style="2" customWidth="1"/>
    <col min="5601" max="5601" width="45.140625" style="2" customWidth="1"/>
    <col min="5602" max="5602" width="13" style="2" customWidth="1"/>
    <col min="5603" max="5603" width="10.85546875" style="2" customWidth="1"/>
    <col min="5604" max="5604" width="12.140625" style="2" customWidth="1"/>
    <col min="5605" max="5605" width="13.140625" style="2" customWidth="1"/>
    <col min="5606" max="5606" width="12.140625" style="2" customWidth="1"/>
    <col min="5607" max="5608" width="17.5703125" style="2" customWidth="1"/>
    <col min="5609" max="5610" width="17" style="2" customWidth="1"/>
    <col min="5611" max="5612" width="12.28515625" style="2" customWidth="1"/>
    <col min="5613" max="5613" width="1.85546875" style="2" customWidth="1"/>
    <col min="5614" max="5615" width="23.85546875" style="2" customWidth="1"/>
    <col min="5616" max="5619" width="16.28515625" style="2" customWidth="1"/>
    <col min="5620" max="5855" width="9.140625" style="2"/>
    <col min="5856" max="5856" width="18.5703125" style="2" customWidth="1"/>
    <col min="5857" max="5857" width="45.140625" style="2" customWidth="1"/>
    <col min="5858" max="5858" width="13" style="2" customWidth="1"/>
    <col min="5859" max="5859" width="10.85546875" style="2" customWidth="1"/>
    <col min="5860" max="5860" width="12.140625" style="2" customWidth="1"/>
    <col min="5861" max="5861" width="13.140625" style="2" customWidth="1"/>
    <col min="5862" max="5862" width="12.140625" style="2" customWidth="1"/>
    <col min="5863" max="5864" width="17.5703125" style="2" customWidth="1"/>
    <col min="5865" max="5866" width="17" style="2" customWidth="1"/>
    <col min="5867" max="5868" width="12.28515625" style="2" customWidth="1"/>
    <col min="5869" max="5869" width="1.85546875" style="2" customWidth="1"/>
    <col min="5870" max="5871" width="23.85546875" style="2" customWidth="1"/>
    <col min="5872" max="5875" width="16.28515625" style="2" customWidth="1"/>
    <col min="5876" max="6111" width="9.140625" style="2"/>
    <col min="6112" max="6112" width="18.5703125" style="2" customWidth="1"/>
    <col min="6113" max="6113" width="45.140625" style="2" customWidth="1"/>
    <col min="6114" max="6114" width="13" style="2" customWidth="1"/>
    <col min="6115" max="6115" width="10.85546875" style="2" customWidth="1"/>
    <col min="6116" max="6116" width="12.140625" style="2" customWidth="1"/>
    <col min="6117" max="6117" width="13.140625" style="2" customWidth="1"/>
    <col min="6118" max="6118" width="12.140625" style="2" customWidth="1"/>
    <col min="6119" max="6120" width="17.5703125" style="2" customWidth="1"/>
    <col min="6121" max="6122" width="17" style="2" customWidth="1"/>
    <col min="6123" max="6124" width="12.28515625" style="2" customWidth="1"/>
    <col min="6125" max="6125" width="1.85546875" style="2" customWidth="1"/>
    <col min="6126" max="6127" width="23.85546875" style="2" customWidth="1"/>
    <col min="6128" max="6131" width="16.28515625" style="2" customWidth="1"/>
    <col min="6132" max="6367" width="9.140625" style="2"/>
    <col min="6368" max="6368" width="18.5703125" style="2" customWidth="1"/>
    <col min="6369" max="6369" width="45.140625" style="2" customWidth="1"/>
    <col min="6370" max="6370" width="13" style="2" customWidth="1"/>
    <col min="6371" max="6371" width="10.85546875" style="2" customWidth="1"/>
    <col min="6372" max="6372" width="12.140625" style="2" customWidth="1"/>
    <col min="6373" max="6373" width="13.140625" style="2" customWidth="1"/>
    <col min="6374" max="6374" width="12.140625" style="2" customWidth="1"/>
    <col min="6375" max="6376" width="17.5703125" style="2" customWidth="1"/>
    <col min="6377" max="6378" width="17" style="2" customWidth="1"/>
    <col min="6379" max="6380" width="12.28515625" style="2" customWidth="1"/>
    <col min="6381" max="6381" width="1.85546875" style="2" customWidth="1"/>
    <col min="6382" max="6383" width="23.85546875" style="2" customWidth="1"/>
    <col min="6384" max="6387" width="16.28515625" style="2" customWidth="1"/>
    <col min="6388" max="6623" width="9.140625" style="2"/>
    <col min="6624" max="6624" width="18.5703125" style="2" customWidth="1"/>
    <col min="6625" max="6625" width="45.140625" style="2" customWidth="1"/>
    <col min="6626" max="6626" width="13" style="2" customWidth="1"/>
    <col min="6627" max="6627" width="10.85546875" style="2" customWidth="1"/>
    <col min="6628" max="6628" width="12.140625" style="2" customWidth="1"/>
    <col min="6629" max="6629" width="13.140625" style="2" customWidth="1"/>
    <col min="6630" max="6630" width="12.140625" style="2" customWidth="1"/>
    <col min="6631" max="6632" width="17.5703125" style="2" customWidth="1"/>
    <col min="6633" max="6634" width="17" style="2" customWidth="1"/>
    <col min="6635" max="6636" width="12.28515625" style="2" customWidth="1"/>
    <col min="6637" max="6637" width="1.85546875" style="2" customWidth="1"/>
    <col min="6638" max="6639" width="23.85546875" style="2" customWidth="1"/>
    <col min="6640" max="6643" width="16.28515625" style="2" customWidth="1"/>
    <col min="6644" max="6879" width="9.140625" style="2"/>
    <col min="6880" max="6880" width="18.5703125" style="2" customWidth="1"/>
    <col min="6881" max="6881" width="45.140625" style="2" customWidth="1"/>
    <col min="6882" max="6882" width="13" style="2" customWidth="1"/>
    <col min="6883" max="6883" width="10.85546875" style="2" customWidth="1"/>
    <col min="6884" max="6884" width="12.140625" style="2" customWidth="1"/>
    <col min="6885" max="6885" width="13.140625" style="2" customWidth="1"/>
    <col min="6886" max="6886" width="12.140625" style="2" customWidth="1"/>
    <col min="6887" max="6888" width="17.5703125" style="2" customWidth="1"/>
    <col min="6889" max="6890" width="17" style="2" customWidth="1"/>
    <col min="6891" max="6892" width="12.28515625" style="2" customWidth="1"/>
    <col min="6893" max="6893" width="1.85546875" style="2" customWidth="1"/>
    <col min="6894" max="6895" width="23.85546875" style="2" customWidth="1"/>
    <col min="6896" max="6899" width="16.28515625" style="2" customWidth="1"/>
    <col min="6900" max="7135" width="9.140625" style="2"/>
    <col min="7136" max="7136" width="18.5703125" style="2" customWidth="1"/>
    <col min="7137" max="7137" width="45.140625" style="2" customWidth="1"/>
    <col min="7138" max="7138" width="13" style="2" customWidth="1"/>
    <col min="7139" max="7139" width="10.85546875" style="2" customWidth="1"/>
    <col min="7140" max="7140" width="12.140625" style="2" customWidth="1"/>
    <col min="7141" max="7141" width="13.140625" style="2" customWidth="1"/>
    <col min="7142" max="7142" width="12.140625" style="2" customWidth="1"/>
    <col min="7143" max="7144" width="17.5703125" style="2" customWidth="1"/>
    <col min="7145" max="7146" width="17" style="2" customWidth="1"/>
    <col min="7147" max="7148" width="12.28515625" style="2" customWidth="1"/>
    <col min="7149" max="7149" width="1.85546875" style="2" customWidth="1"/>
    <col min="7150" max="7151" width="23.85546875" style="2" customWidth="1"/>
    <col min="7152" max="7155" width="16.28515625" style="2" customWidth="1"/>
    <col min="7156" max="7391" width="9.140625" style="2"/>
    <col min="7392" max="7392" width="18.5703125" style="2" customWidth="1"/>
    <col min="7393" max="7393" width="45.140625" style="2" customWidth="1"/>
    <col min="7394" max="7394" width="13" style="2" customWidth="1"/>
    <col min="7395" max="7395" width="10.85546875" style="2" customWidth="1"/>
    <col min="7396" max="7396" width="12.140625" style="2" customWidth="1"/>
    <col min="7397" max="7397" width="13.140625" style="2" customWidth="1"/>
    <col min="7398" max="7398" width="12.140625" style="2" customWidth="1"/>
    <col min="7399" max="7400" width="17.5703125" style="2" customWidth="1"/>
    <col min="7401" max="7402" width="17" style="2" customWidth="1"/>
    <col min="7403" max="7404" width="12.28515625" style="2" customWidth="1"/>
    <col min="7405" max="7405" width="1.85546875" style="2" customWidth="1"/>
    <col min="7406" max="7407" width="23.85546875" style="2" customWidth="1"/>
    <col min="7408" max="7411" width="16.28515625" style="2" customWidth="1"/>
    <col min="7412" max="7647" width="9.140625" style="2"/>
    <col min="7648" max="7648" width="18.5703125" style="2" customWidth="1"/>
    <col min="7649" max="7649" width="45.140625" style="2" customWidth="1"/>
    <col min="7650" max="7650" width="13" style="2" customWidth="1"/>
    <col min="7651" max="7651" width="10.85546875" style="2" customWidth="1"/>
    <col min="7652" max="7652" width="12.140625" style="2" customWidth="1"/>
    <col min="7653" max="7653" width="13.140625" style="2" customWidth="1"/>
    <col min="7654" max="7654" width="12.140625" style="2" customWidth="1"/>
    <col min="7655" max="7656" width="17.5703125" style="2" customWidth="1"/>
    <col min="7657" max="7658" width="17" style="2" customWidth="1"/>
    <col min="7659" max="7660" width="12.28515625" style="2" customWidth="1"/>
    <col min="7661" max="7661" width="1.85546875" style="2" customWidth="1"/>
    <col min="7662" max="7663" width="23.85546875" style="2" customWidth="1"/>
    <col min="7664" max="7667" width="16.28515625" style="2" customWidth="1"/>
    <col min="7668" max="7903" width="9.140625" style="2"/>
    <col min="7904" max="7904" width="18.5703125" style="2" customWidth="1"/>
    <col min="7905" max="7905" width="45.140625" style="2" customWidth="1"/>
    <col min="7906" max="7906" width="13" style="2" customWidth="1"/>
    <col min="7907" max="7907" width="10.85546875" style="2" customWidth="1"/>
    <col min="7908" max="7908" width="12.140625" style="2" customWidth="1"/>
    <col min="7909" max="7909" width="13.140625" style="2" customWidth="1"/>
    <col min="7910" max="7910" width="12.140625" style="2" customWidth="1"/>
    <col min="7911" max="7912" width="17.5703125" style="2" customWidth="1"/>
    <col min="7913" max="7914" width="17" style="2" customWidth="1"/>
    <col min="7915" max="7916" width="12.28515625" style="2" customWidth="1"/>
    <col min="7917" max="7917" width="1.85546875" style="2" customWidth="1"/>
    <col min="7918" max="7919" width="23.85546875" style="2" customWidth="1"/>
    <col min="7920" max="7923" width="16.28515625" style="2" customWidth="1"/>
    <col min="7924" max="8159" width="9.140625" style="2"/>
    <col min="8160" max="8160" width="18.5703125" style="2" customWidth="1"/>
    <col min="8161" max="8161" width="45.140625" style="2" customWidth="1"/>
    <col min="8162" max="8162" width="13" style="2" customWidth="1"/>
    <col min="8163" max="8163" width="10.85546875" style="2" customWidth="1"/>
    <col min="8164" max="8164" width="12.140625" style="2" customWidth="1"/>
    <col min="8165" max="8165" width="13.140625" style="2" customWidth="1"/>
    <col min="8166" max="8166" width="12.140625" style="2" customWidth="1"/>
    <col min="8167" max="8168" width="17.5703125" style="2" customWidth="1"/>
    <col min="8169" max="8170" width="17" style="2" customWidth="1"/>
    <col min="8171" max="8172" width="12.28515625" style="2" customWidth="1"/>
    <col min="8173" max="8173" width="1.85546875" style="2" customWidth="1"/>
    <col min="8174" max="8175" width="23.85546875" style="2" customWidth="1"/>
    <col min="8176" max="8179" width="16.28515625" style="2" customWidth="1"/>
    <col min="8180" max="8415" width="9.140625" style="2"/>
    <col min="8416" max="8416" width="18.5703125" style="2" customWidth="1"/>
    <col min="8417" max="8417" width="45.140625" style="2" customWidth="1"/>
    <col min="8418" max="8418" width="13" style="2" customWidth="1"/>
    <col min="8419" max="8419" width="10.85546875" style="2" customWidth="1"/>
    <col min="8420" max="8420" width="12.140625" style="2" customWidth="1"/>
    <col min="8421" max="8421" width="13.140625" style="2" customWidth="1"/>
    <col min="8422" max="8422" width="12.140625" style="2" customWidth="1"/>
    <col min="8423" max="8424" width="17.5703125" style="2" customWidth="1"/>
    <col min="8425" max="8426" width="17" style="2" customWidth="1"/>
    <col min="8427" max="8428" width="12.28515625" style="2" customWidth="1"/>
    <col min="8429" max="8429" width="1.85546875" style="2" customWidth="1"/>
    <col min="8430" max="8431" width="23.85546875" style="2" customWidth="1"/>
    <col min="8432" max="8435" width="16.28515625" style="2" customWidth="1"/>
    <col min="8436" max="8671" width="9.140625" style="2"/>
    <col min="8672" max="8672" width="18.5703125" style="2" customWidth="1"/>
    <col min="8673" max="8673" width="45.140625" style="2" customWidth="1"/>
    <col min="8674" max="8674" width="13" style="2" customWidth="1"/>
    <col min="8675" max="8675" width="10.85546875" style="2" customWidth="1"/>
    <col min="8676" max="8676" width="12.140625" style="2" customWidth="1"/>
    <col min="8677" max="8677" width="13.140625" style="2" customWidth="1"/>
    <col min="8678" max="8678" width="12.140625" style="2" customWidth="1"/>
    <col min="8679" max="8680" width="17.5703125" style="2" customWidth="1"/>
    <col min="8681" max="8682" width="17" style="2" customWidth="1"/>
    <col min="8683" max="8684" width="12.28515625" style="2" customWidth="1"/>
    <col min="8685" max="8685" width="1.85546875" style="2" customWidth="1"/>
    <col min="8686" max="8687" width="23.85546875" style="2" customWidth="1"/>
    <col min="8688" max="8691" width="16.28515625" style="2" customWidth="1"/>
    <col min="8692" max="8927" width="9.140625" style="2"/>
    <col min="8928" max="8928" width="18.5703125" style="2" customWidth="1"/>
    <col min="8929" max="8929" width="45.140625" style="2" customWidth="1"/>
    <col min="8930" max="8930" width="13" style="2" customWidth="1"/>
    <col min="8931" max="8931" width="10.85546875" style="2" customWidth="1"/>
    <col min="8932" max="8932" width="12.140625" style="2" customWidth="1"/>
    <col min="8933" max="8933" width="13.140625" style="2" customWidth="1"/>
    <col min="8934" max="8934" width="12.140625" style="2" customWidth="1"/>
    <col min="8935" max="8936" width="17.5703125" style="2" customWidth="1"/>
    <col min="8937" max="8938" width="17" style="2" customWidth="1"/>
    <col min="8939" max="8940" width="12.28515625" style="2" customWidth="1"/>
    <col min="8941" max="8941" width="1.85546875" style="2" customWidth="1"/>
    <col min="8942" max="8943" width="23.85546875" style="2" customWidth="1"/>
    <col min="8944" max="8947" width="16.28515625" style="2" customWidth="1"/>
    <col min="8948" max="9183" width="9.140625" style="2"/>
    <col min="9184" max="9184" width="18.5703125" style="2" customWidth="1"/>
    <col min="9185" max="9185" width="45.140625" style="2" customWidth="1"/>
    <col min="9186" max="9186" width="13" style="2" customWidth="1"/>
    <col min="9187" max="9187" width="10.85546875" style="2" customWidth="1"/>
    <col min="9188" max="9188" width="12.140625" style="2" customWidth="1"/>
    <col min="9189" max="9189" width="13.140625" style="2" customWidth="1"/>
    <col min="9190" max="9190" width="12.140625" style="2" customWidth="1"/>
    <col min="9191" max="9192" width="17.5703125" style="2" customWidth="1"/>
    <col min="9193" max="9194" width="17" style="2" customWidth="1"/>
    <col min="9195" max="9196" width="12.28515625" style="2" customWidth="1"/>
    <col min="9197" max="9197" width="1.85546875" style="2" customWidth="1"/>
    <col min="9198" max="9199" width="23.85546875" style="2" customWidth="1"/>
    <col min="9200" max="9203" width="16.28515625" style="2" customWidth="1"/>
    <col min="9204" max="9439" width="9.140625" style="2"/>
    <col min="9440" max="9440" width="18.5703125" style="2" customWidth="1"/>
    <col min="9441" max="9441" width="45.140625" style="2" customWidth="1"/>
    <col min="9442" max="9442" width="13" style="2" customWidth="1"/>
    <col min="9443" max="9443" width="10.85546875" style="2" customWidth="1"/>
    <col min="9444" max="9444" width="12.140625" style="2" customWidth="1"/>
    <col min="9445" max="9445" width="13.140625" style="2" customWidth="1"/>
    <col min="9446" max="9446" width="12.140625" style="2" customWidth="1"/>
    <col min="9447" max="9448" width="17.5703125" style="2" customWidth="1"/>
    <col min="9449" max="9450" width="17" style="2" customWidth="1"/>
    <col min="9451" max="9452" width="12.28515625" style="2" customWidth="1"/>
    <col min="9453" max="9453" width="1.85546875" style="2" customWidth="1"/>
    <col min="9454" max="9455" width="23.85546875" style="2" customWidth="1"/>
    <col min="9456" max="9459" width="16.28515625" style="2" customWidth="1"/>
    <col min="9460" max="9695" width="9.140625" style="2"/>
    <col min="9696" max="9696" width="18.5703125" style="2" customWidth="1"/>
    <col min="9697" max="9697" width="45.140625" style="2" customWidth="1"/>
    <col min="9698" max="9698" width="13" style="2" customWidth="1"/>
    <col min="9699" max="9699" width="10.85546875" style="2" customWidth="1"/>
    <col min="9700" max="9700" width="12.140625" style="2" customWidth="1"/>
    <col min="9701" max="9701" width="13.140625" style="2" customWidth="1"/>
    <col min="9702" max="9702" width="12.140625" style="2" customWidth="1"/>
    <col min="9703" max="9704" width="17.5703125" style="2" customWidth="1"/>
    <col min="9705" max="9706" width="17" style="2" customWidth="1"/>
    <col min="9707" max="9708" width="12.28515625" style="2" customWidth="1"/>
    <col min="9709" max="9709" width="1.85546875" style="2" customWidth="1"/>
    <col min="9710" max="9711" width="23.85546875" style="2" customWidth="1"/>
    <col min="9712" max="9715" width="16.28515625" style="2" customWidth="1"/>
    <col min="9716" max="9951" width="9.140625" style="2"/>
    <col min="9952" max="9952" width="18.5703125" style="2" customWidth="1"/>
    <col min="9953" max="9953" width="45.140625" style="2" customWidth="1"/>
    <col min="9954" max="9954" width="13" style="2" customWidth="1"/>
    <col min="9955" max="9955" width="10.85546875" style="2" customWidth="1"/>
    <col min="9956" max="9956" width="12.140625" style="2" customWidth="1"/>
    <col min="9957" max="9957" width="13.140625" style="2" customWidth="1"/>
    <col min="9958" max="9958" width="12.140625" style="2" customWidth="1"/>
    <col min="9959" max="9960" width="17.5703125" style="2" customWidth="1"/>
    <col min="9961" max="9962" width="17" style="2" customWidth="1"/>
    <col min="9963" max="9964" width="12.28515625" style="2" customWidth="1"/>
    <col min="9965" max="9965" width="1.85546875" style="2" customWidth="1"/>
    <col min="9966" max="9967" width="23.85546875" style="2" customWidth="1"/>
    <col min="9968" max="9971" width="16.28515625" style="2" customWidth="1"/>
    <col min="9972" max="10207" width="9.140625" style="2"/>
    <col min="10208" max="10208" width="18.5703125" style="2" customWidth="1"/>
    <col min="10209" max="10209" width="45.140625" style="2" customWidth="1"/>
    <col min="10210" max="10210" width="13" style="2" customWidth="1"/>
    <col min="10211" max="10211" width="10.85546875" style="2" customWidth="1"/>
    <col min="10212" max="10212" width="12.140625" style="2" customWidth="1"/>
    <col min="10213" max="10213" width="13.140625" style="2" customWidth="1"/>
    <col min="10214" max="10214" width="12.140625" style="2" customWidth="1"/>
    <col min="10215" max="10216" width="17.5703125" style="2" customWidth="1"/>
    <col min="10217" max="10218" width="17" style="2" customWidth="1"/>
    <col min="10219" max="10220" width="12.28515625" style="2" customWidth="1"/>
    <col min="10221" max="10221" width="1.85546875" style="2" customWidth="1"/>
    <col min="10222" max="10223" width="23.85546875" style="2" customWidth="1"/>
    <col min="10224" max="10227" width="16.28515625" style="2" customWidth="1"/>
    <col min="10228" max="10463" width="9.140625" style="2"/>
    <col min="10464" max="10464" width="18.5703125" style="2" customWidth="1"/>
    <col min="10465" max="10465" width="45.140625" style="2" customWidth="1"/>
    <col min="10466" max="10466" width="13" style="2" customWidth="1"/>
    <col min="10467" max="10467" width="10.85546875" style="2" customWidth="1"/>
    <col min="10468" max="10468" width="12.140625" style="2" customWidth="1"/>
    <col min="10469" max="10469" width="13.140625" style="2" customWidth="1"/>
    <col min="10470" max="10470" width="12.140625" style="2" customWidth="1"/>
    <col min="10471" max="10472" width="17.5703125" style="2" customWidth="1"/>
    <col min="10473" max="10474" width="17" style="2" customWidth="1"/>
    <col min="10475" max="10476" width="12.28515625" style="2" customWidth="1"/>
    <col min="10477" max="10477" width="1.85546875" style="2" customWidth="1"/>
    <col min="10478" max="10479" width="23.85546875" style="2" customWidth="1"/>
    <col min="10480" max="10483" width="16.28515625" style="2" customWidth="1"/>
    <col min="10484" max="10719" width="9.140625" style="2"/>
    <col min="10720" max="10720" width="18.5703125" style="2" customWidth="1"/>
    <col min="10721" max="10721" width="45.140625" style="2" customWidth="1"/>
    <col min="10722" max="10722" width="13" style="2" customWidth="1"/>
    <col min="10723" max="10723" width="10.85546875" style="2" customWidth="1"/>
    <col min="10724" max="10724" width="12.140625" style="2" customWidth="1"/>
    <col min="10725" max="10725" width="13.140625" style="2" customWidth="1"/>
    <col min="10726" max="10726" width="12.140625" style="2" customWidth="1"/>
    <col min="10727" max="10728" width="17.5703125" style="2" customWidth="1"/>
    <col min="10729" max="10730" width="17" style="2" customWidth="1"/>
    <col min="10731" max="10732" width="12.28515625" style="2" customWidth="1"/>
    <col min="10733" max="10733" width="1.85546875" style="2" customWidth="1"/>
    <col min="10734" max="10735" width="23.85546875" style="2" customWidth="1"/>
    <col min="10736" max="10739" width="16.28515625" style="2" customWidth="1"/>
    <col min="10740" max="10975" width="9.140625" style="2"/>
    <col min="10976" max="10976" width="18.5703125" style="2" customWidth="1"/>
    <col min="10977" max="10977" width="45.140625" style="2" customWidth="1"/>
    <col min="10978" max="10978" width="13" style="2" customWidth="1"/>
    <col min="10979" max="10979" width="10.85546875" style="2" customWidth="1"/>
    <col min="10980" max="10980" width="12.140625" style="2" customWidth="1"/>
    <col min="10981" max="10981" width="13.140625" style="2" customWidth="1"/>
    <col min="10982" max="10982" width="12.140625" style="2" customWidth="1"/>
    <col min="10983" max="10984" width="17.5703125" style="2" customWidth="1"/>
    <col min="10985" max="10986" width="17" style="2" customWidth="1"/>
    <col min="10987" max="10988" width="12.28515625" style="2" customWidth="1"/>
    <col min="10989" max="10989" width="1.85546875" style="2" customWidth="1"/>
    <col min="10990" max="10991" width="23.85546875" style="2" customWidth="1"/>
    <col min="10992" max="10995" width="16.28515625" style="2" customWidth="1"/>
    <col min="10996" max="11231" width="9.140625" style="2"/>
    <col min="11232" max="11232" width="18.5703125" style="2" customWidth="1"/>
    <col min="11233" max="11233" width="45.140625" style="2" customWidth="1"/>
    <col min="11234" max="11234" width="13" style="2" customWidth="1"/>
    <col min="11235" max="11235" width="10.85546875" style="2" customWidth="1"/>
    <col min="11236" max="11236" width="12.140625" style="2" customWidth="1"/>
    <col min="11237" max="11237" width="13.140625" style="2" customWidth="1"/>
    <col min="11238" max="11238" width="12.140625" style="2" customWidth="1"/>
    <col min="11239" max="11240" width="17.5703125" style="2" customWidth="1"/>
    <col min="11241" max="11242" width="17" style="2" customWidth="1"/>
    <col min="11243" max="11244" width="12.28515625" style="2" customWidth="1"/>
    <col min="11245" max="11245" width="1.85546875" style="2" customWidth="1"/>
    <col min="11246" max="11247" width="23.85546875" style="2" customWidth="1"/>
    <col min="11248" max="11251" width="16.28515625" style="2" customWidth="1"/>
    <col min="11252" max="11487" width="9.140625" style="2"/>
    <col min="11488" max="11488" width="18.5703125" style="2" customWidth="1"/>
    <col min="11489" max="11489" width="45.140625" style="2" customWidth="1"/>
    <col min="11490" max="11490" width="13" style="2" customWidth="1"/>
    <col min="11491" max="11491" width="10.85546875" style="2" customWidth="1"/>
    <col min="11492" max="11492" width="12.140625" style="2" customWidth="1"/>
    <col min="11493" max="11493" width="13.140625" style="2" customWidth="1"/>
    <col min="11494" max="11494" width="12.140625" style="2" customWidth="1"/>
    <col min="11495" max="11496" width="17.5703125" style="2" customWidth="1"/>
    <col min="11497" max="11498" width="17" style="2" customWidth="1"/>
    <col min="11499" max="11500" width="12.28515625" style="2" customWidth="1"/>
    <col min="11501" max="11501" width="1.85546875" style="2" customWidth="1"/>
    <col min="11502" max="11503" width="23.85546875" style="2" customWidth="1"/>
    <col min="11504" max="11507" width="16.28515625" style="2" customWidth="1"/>
    <col min="11508" max="11743" width="9.140625" style="2"/>
    <col min="11744" max="11744" width="18.5703125" style="2" customWidth="1"/>
    <col min="11745" max="11745" width="45.140625" style="2" customWidth="1"/>
    <col min="11746" max="11746" width="13" style="2" customWidth="1"/>
    <col min="11747" max="11747" width="10.85546875" style="2" customWidth="1"/>
    <col min="11748" max="11748" width="12.140625" style="2" customWidth="1"/>
    <col min="11749" max="11749" width="13.140625" style="2" customWidth="1"/>
    <col min="11750" max="11750" width="12.140625" style="2" customWidth="1"/>
    <col min="11751" max="11752" width="17.5703125" style="2" customWidth="1"/>
    <col min="11753" max="11754" width="17" style="2" customWidth="1"/>
    <col min="11755" max="11756" width="12.28515625" style="2" customWidth="1"/>
    <col min="11757" max="11757" width="1.85546875" style="2" customWidth="1"/>
    <col min="11758" max="11759" width="23.85546875" style="2" customWidth="1"/>
    <col min="11760" max="11763" width="16.28515625" style="2" customWidth="1"/>
    <col min="11764" max="11999" width="9.140625" style="2"/>
    <col min="12000" max="12000" width="18.5703125" style="2" customWidth="1"/>
    <col min="12001" max="12001" width="45.140625" style="2" customWidth="1"/>
    <col min="12002" max="12002" width="13" style="2" customWidth="1"/>
    <col min="12003" max="12003" width="10.85546875" style="2" customWidth="1"/>
    <col min="12004" max="12004" width="12.140625" style="2" customWidth="1"/>
    <col min="12005" max="12005" width="13.140625" style="2" customWidth="1"/>
    <col min="12006" max="12006" width="12.140625" style="2" customWidth="1"/>
    <col min="12007" max="12008" width="17.5703125" style="2" customWidth="1"/>
    <col min="12009" max="12010" width="17" style="2" customWidth="1"/>
    <col min="12011" max="12012" width="12.28515625" style="2" customWidth="1"/>
    <col min="12013" max="12013" width="1.85546875" style="2" customWidth="1"/>
    <col min="12014" max="12015" width="23.85546875" style="2" customWidth="1"/>
    <col min="12016" max="12019" width="16.28515625" style="2" customWidth="1"/>
    <col min="12020" max="12255" width="9.140625" style="2"/>
    <col min="12256" max="12256" width="18.5703125" style="2" customWidth="1"/>
    <col min="12257" max="12257" width="45.140625" style="2" customWidth="1"/>
    <col min="12258" max="12258" width="13" style="2" customWidth="1"/>
    <col min="12259" max="12259" width="10.85546875" style="2" customWidth="1"/>
    <col min="12260" max="12260" width="12.140625" style="2" customWidth="1"/>
    <col min="12261" max="12261" width="13.140625" style="2" customWidth="1"/>
    <col min="12262" max="12262" width="12.140625" style="2" customWidth="1"/>
    <col min="12263" max="12264" width="17.5703125" style="2" customWidth="1"/>
    <col min="12265" max="12266" width="17" style="2" customWidth="1"/>
    <col min="12267" max="12268" width="12.28515625" style="2" customWidth="1"/>
    <col min="12269" max="12269" width="1.85546875" style="2" customWidth="1"/>
    <col min="12270" max="12271" width="23.85546875" style="2" customWidth="1"/>
    <col min="12272" max="12275" width="16.28515625" style="2" customWidth="1"/>
    <col min="12276" max="12511" width="9.140625" style="2"/>
    <col min="12512" max="12512" width="18.5703125" style="2" customWidth="1"/>
    <col min="12513" max="12513" width="45.140625" style="2" customWidth="1"/>
    <col min="12514" max="12514" width="13" style="2" customWidth="1"/>
    <col min="12515" max="12515" width="10.85546875" style="2" customWidth="1"/>
    <col min="12516" max="12516" width="12.140625" style="2" customWidth="1"/>
    <col min="12517" max="12517" width="13.140625" style="2" customWidth="1"/>
    <col min="12518" max="12518" width="12.140625" style="2" customWidth="1"/>
    <col min="12519" max="12520" width="17.5703125" style="2" customWidth="1"/>
    <col min="12521" max="12522" width="17" style="2" customWidth="1"/>
    <col min="12523" max="12524" width="12.28515625" style="2" customWidth="1"/>
    <col min="12525" max="12525" width="1.85546875" style="2" customWidth="1"/>
    <col min="12526" max="12527" width="23.85546875" style="2" customWidth="1"/>
    <col min="12528" max="12531" width="16.28515625" style="2" customWidth="1"/>
    <col min="12532" max="12767" width="9.140625" style="2"/>
    <col min="12768" max="12768" width="18.5703125" style="2" customWidth="1"/>
    <col min="12769" max="12769" width="45.140625" style="2" customWidth="1"/>
    <col min="12770" max="12770" width="13" style="2" customWidth="1"/>
    <col min="12771" max="12771" width="10.85546875" style="2" customWidth="1"/>
    <col min="12772" max="12772" width="12.140625" style="2" customWidth="1"/>
    <col min="12773" max="12773" width="13.140625" style="2" customWidth="1"/>
    <col min="12774" max="12774" width="12.140625" style="2" customWidth="1"/>
    <col min="12775" max="12776" width="17.5703125" style="2" customWidth="1"/>
    <col min="12777" max="12778" width="17" style="2" customWidth="1"/>
    <col min="12779" max="12780" width="12.28515625" style="2" customWidth="1"/>
    <col min="12781" max="12781" width="1.85546875" style="2" customWidth="1"/>
    <col min="12782" max="12783" width="23.85546875" style="2" customWidth="1"/>
    <col min="12784" max="12787" width="16.28515625" style="2" customWidth="1"/>
    <col min="12788" max="13023" width="9.140625" style="2"/>
    <col min="13024" max="13024" width="18.5703125" style="2" customWidth="1"/>
    <col min="13025" max="13025" width="45.140625" style="2" customWidth="1"/>
    <col min="13026" max="13026" width="13" style="2" customWidth="1"/>
    <col min="13027" max="13027" width="10.85546875" style="2" customWidth="1"/>
    <col min="13028" max="13028" width="12.140625" style="2" customWidth="1"/>
    <col min="13029" max="13029" width="13.140625" style="2" customWidth="1"/>
    <col min="13030" max="13030" width="12.140625" style="2" customWidth="1"/>
    <col min="13031" max="13032" width="17.5703125" style="2" customWidth="1"/>
    <col min="13033" max="13034" width="17" style="2" customWidth="1"/>
    <col min="13035" max="13036" width="12.28515625" style="2" customWidth="1"/>
    <col min="13037" max="13037" width="1.85546875" style="2" customWidth="1"/>
    <col min="13038" max="13039" width="23.85546875" style="2" customWidth="1"/>
    <col min="13040" max="13043" width="16.28515625" style="2" customWidth="1"/>
    <col min="13044" max="13279" width="9.140625" style="2"/>
    <col min="13280" max="13280" width="18.5703125" style="2" customWidth="1"/>
    <col min="13281" max="13281" width="45.140625" style="2" customWidth="1"/>
    <col min="13282" max="13282" width="13" style="2" customWidth="1"/>
    <col min="13283" max="13283" width="10.85546875" style="2" customWidth="1"/>
    <col min="13284" max="13284" width="12.140625" style="2" customWidth="1"/>
    <col min="13285" max="13285" width="13.140625" style="2" customWidth="1"/>
    <col min="13286" max="13286" width="12.140625" style="2" customWidth="1"/>
    <col min="13287" max="13288" width="17.5703125" style="2" customWidth="1"/>
    <col min="13289" max="13290" width="17" style="2" customWidth="1"/>
    <col min="13291" max="13292" width="12.28515625" style="2" customWidth="1"/>
    <col min="13293" max="13293" width="1.85546875" style="2" customWidth="1"/>
    <col min="13294" max="13295" width="23.85546875" style="2" customWidth="1"/>
    <col min="13296" max="13299" width="16.28515625" style="2" customWidth="1"/>
    <col min="13300" max="13535" width="9.140625" style="2"/>
    <col min="13536" max="13536" width="18.5703125" style="2" customWidth="1"/>
    <col min="13537" max="13537" width="45.140625" style="2" customWidth="1"/>
    <col min="13538" max="13538" width="13" style="2" customWidth="1"/>
    <col min="13539" max="13539" width="10.85546875" style="2" customWidth="1"/>
    <col min="13540" max="13540" width="12.140625" style="2" customWidth="1"/>
    <col min="13541" max="13541" width="13.140625" style="2" customWidth="1"/>
    <col min="13542" max="13542" width="12.140625" style="2" customWidth="1"/>
    <col min="13543" max="13544" width="17.5703125" style="2" customWidth="1"/>
    <col min="13545" max="13546" width="17" style="2" customWidth="1"/>
    <col min="13547" max="13548" width="12.28515625" style="2" customWidth="1"/>
    <col min="13549" max="13549" width="1.85546875" style="2" customWidth="1"/>
    <col min="13550" max="13551" width="23.85546875" style="2" customWidth="1"/>
    <col min="13552" max="13555" width="16.28515625" style="2" customWidth="1"/>
    <col min="13556" max="13791" width="9.140625" style="2"/>
    <col min="13792" max="13792" width="18.5703125" style="2" customWidth="1"/>
    <col min="13793" max="13793" width="45.140625" style="2" customWidth="1"/>
    <col min="13794" max="13794" width="13" style="2" customWidth="1"/>
    <col min="13795" max="13795" width="10.85546875" style="2" customWidth="1"/>
    <col min="13796" max="13796" width="12.140625" style="2" customWidth="1"/>
    <col min="13797" max="13797" width="13.140625" style="2" customWidth="1"/>
    <col min="13798" max="13798" width="12.140625" style="2" customWidth="1"/>
    <col min="13799" max="13800" width="17.5703125" style="2" customWidth="1"/>
    <col min="13801" max="13802" width="17" style="2" customWidth="1"/>
    <col min="13803" max="13804" width="12.28515625" style="2" customWidth="1"/>
    <col min="13805" max="13805" width="1.85546875" style="2" customWidth="1"/>
    <col min="13806" max="13807" width="23.85546875" style="2" customWidth="1"/>
    <col min="13808" max="13811" width="16.28515625" style="2" customWidth="1"/>
    <col min="13812" max="14047" width="9.140625" style="2"/>
    <col min="14048" max="14048" width="18.5703125" style="2" customWidth="1"/>
    <col min="14049" max="14049" width="45.140625" style="2" customWidth="1"/>
    <col min="14050" max="14050" width="13" style="2" customWidth="1"/>
    <col min="14051" max="14051" width="10.85546875" style="2" customWidth="1"/>
    <col min="14052" max="14052" width="12.140625" style="2" customWidth="1"/>
    <col min="14053" max="14053" width="13.140625" style="2" customWidth="1"/>
    <col min="14054" max="14054" width="12.140625" style="2" customWidth="1"/>
    <col min="14055" max="14056" width="17.5703125" style="2" customWidth="1"/>
    <col min="14057" max="14058" width="17" style="2" customWidth="1"/>
    <col min="14059" max="14060" width="12.28515625" style="2" customWidth="1"/>
    <col min="14061" max="14061" width="1.85546875" style="2" customWidth="1"/>
    <col min="14062" max="14063" width="23.85546875" style="2" customWidth="1"/>
    <col min="14064" max="14067" width="16.28515625" style="2" customWidth="1"/>
    <col min="14068" max="14303" width="9.140625" style="2"/>
    <col min="14304" max="14304" width="18.5703125" style="2" customWidth="1"/>
    <col min="14305" max="14305" width="45.140625" style="2" customWidth="1"/>
    <col min="14306" max="14306" width="13" style="2" customWidth="1"/>
    <col min="14307" max="14307" width="10.85546875" style="2" customWidth="1"/>
    <col min="14308" max="14308" width="12.140625" style="2" customWidth="1"/>
    <col min="14309" max="14309" width="13.140625" style="2" customWidth="1"/>
    <col min="14310" max="14310" width="12.140625" style="2" customWidth="1"/>
    <col min="14311" max="14312" width="17.5703125" style="2" customWidth="1"/>
    <col min="14313" max="14314" width="17" style="2" customWidth="1"/>
    <col min="14315" max="14316" width="12.28515625" style="2" customWidth="1"/>
    <col min="14317" max="14317" width="1.85546875" style="2" customWidth="1"/>
    <col min="14318" max="14319" width="23.85546875" style="2" customWidth="1"/>
    <col min="14320" max="14323" width="16.28515625" style="2" customWidth="1"/>
    <col min="14324" max="14559" width="9.140625" style="2"/>
    <col min="14560" max="14560" width="18.5703125" style="2" customWidth="1"/>
    <col min="14561" max="14561" width="45.140625" style="2" customWidth="1"/>
    <col min="14562" max="14562" width="13" style="2" customWidth="1"/>
    <col min="14563" max="14563" width="10.85546875" style="2" customWidth="1"/>
    <col min="14564" max="14564" width="12.140625" style="2" customWidth="1"/>
    <col min="14565" max="14565" width="13.140625" style="2" customWidth="1"/>
    <col min="14566" max="14566" width="12.140625" style="2" customWidth="1"/>
    <col min="14567" max="14568" width="17.5703125" style="2" customWidth="1"/>
    <col min="14569" max="14570" width="17" style="2" customWidth="1"/>
    <col min="14571" max="14572" width="12.28515625" style="2" customWidth="1"/>
    <col min="14573" max="14573" width="1.85546875" style="2" customWidth="1"/>
    <col min="14574" max="14575" width="23.85546875" style="2" customWidth="1"/>
    <col min="14576" max="14579" width="16.28515625" style="2" customWidth="1"/>
    <col min="14580" max="14815" width="9.140625" style="2"/>
    <col min="14816" max="14816" width="18.5703125" style="2" customWidth="1"/>
    <col min="14817" max="14817" width="45.140625" style="2" customWidth="1"/>
    <col min="14818" max="14818" width="13" style="2" customWidth="1"/>
    <col min="14819" max="14819" width="10.85546875" style="2" customWidth="1"/>
    <col min="14820" max="14820" width="12.140625" style="2" customWidth="1"/>
    <col min="14821" max="14821" width="13.140625" style="2" customWidth="1"/>
    <col min="14822" max="14822" width="12.140625" style="2" customWidth="1"/>
    <col min="14823" max="14824" width="17.5703125" style="2" customWidth="1"/>
    <col min="14825" max="14826" width="17" style="2" customWidth="1"/>
    <col min="14827" max="14828" width="12.28515625" style="2" customWidth="1"/>
    <col min="14829" max="14829" width="1.85546875" style="2" customWidth="1"/>
    <col min="14830" max="14831" width="23.85546875" style="2" customWidth="1"/>
    <col min="14832" max="14835" width="16.28515625" style="2" customWidth="1"/>
    <col min="14836" max="15071" width="9.140625" style="2"/>
    <col min="15072" max="15072" width="18.5703125" style="2" customWidth="1"/>
    <col min="15073" max="15073" width="45.140625" style="2" customWidth="1"/>
    <col min="15074" max="15074" width="13" style="2" customWidth="1"/>
    <col min="15075" max="15075" width="10.85546875" style="2" customWidth="1"/>
    <col min="15076" max="15076" width="12.140625" style="2" customWidth="1"/>
    <col min="15077" max="15077" width="13.140625" style="2" customWidth="1"/>
    <col min="15078" max="15078" width="12.140625" style="2" customWidth="1"/>
    <col min="15079" max="15080" width="17.5703125" style="2" customWidth="1"/>
    <col min="15081" max="15082" width="17" style="2" customWidth="1"/>
    <col min="15083" max="15084" width="12.28515625" style="2" customWidth="1"/>
    <col min="15085" max="15085" width="1.85546875" style="2" customWidth="1"/>
    <col min="15086" max="15087" width="23.85546875" style="2" customWidth="1"/>
    <col min="15088" max="15091" width="16.28515625" style="2" customWidth="1"/>
    <col min="15092" max="15327" width="9.140625" style="2"/>
    <col min="15328" max="15328" width="18.5703125" style="2" customWidth="1"/>
    <col min="15329" max="15329" width="45.140625" style="2" customWidth="1"/>
    <col min="15330" max="15330" width="13" style="2" customWidth="1"/>
    <col min="15331" max="15331" width="10.85546875" style="2" customWidth="1"/>
    <col min="15332" max="15332" width="12.140625" style="2" customWidth="1"/>
    <col min="15333" max="15333" width="13.140625" style="2" customWidth="1"/>
    <col min="15334" max="15334" width="12.140625" style="2" customWidth="1"/>
    <col min="15335" max="15336" width="17.5703125" style="2" customWidth="1"/>
    <col min="15337" max="15338" width="17" style="2" customWidth="1"/>
    <col min="15339" max="15340" width="12.28515625" style="2" customWidth="1"/>
    <col min="15341" max="15341" width="1.85546875" style="2" customWidth="1"/>
    <col min="15342" max="15343" width="23.85546875" style="2" customWidth="1"/>
    <col min="15344" max="15347" width="16.28515625" style="2" customWidth="1"/>
    <col min="15348" max="15583" width="9.140625" style="2"/>
    <col min="15584" max="15584" width="18.5703125" style="2" customWidth="1"/>
    <col min="15585" max="15585" width="45.140625" style="2" customWidth="1"/>
    <col min="15586" max="15586" width="13" style="2" customWidth="1"/>
    <col min="15587" max="15587" width="10.85546875" style="2" customWidth="1"/>
    <col min="15588" max="15588" width="12.140625" style="2" customWidth="1"/>
    <col min="15589" max="15589" width="13.140625" style="2" customWidth="1"/>
    <col min="15590" max="15590" width="12.140625" style="2" customWidth="1"/>
    <col min="15591" max="15592" width="17.5703125" style="2" customWidth="1"/>
    <col min="15593" max="15594" width="17" style="2" customWidth="1"/>
    <col min="15595" max="15596" width="12.28515625" style="2" customWidth="1"/>
    <col min="15597" max="15597" width="1.85546875" style="2" customWidth="1"/>
    <col min="15598" max="15599" width="23.85546875" style="2" customWidth="1"/>
    <col min="15600" max="15603" width="16.28515625" style="2" customWidth="1"/>
    <col min="15604" max="15839" width="9.140625" style="2"/>
    <col min="15840" max="15840" width="18.5703125" style="2" customWidth="1"/>
    <col min="15841" max="15841" width="45.140625" style="2" customWidth="1"/>
    <col min="15842" max="15842" width="13" style="2" customWidth="1"/>
    <col min="15843" max="15843" width="10.85546875" style="2" customWidth="1"/>
    <col min="15844" max="15844" width="12.140625" style="2" customWidth="1"/>
    <col min="15845" max="15845" width="13.140625" style="2" customWidth="1"/>
    <col min="15846" max="15846" width="12.140625" style="2" customWidth="1"/>
    <col min="15847" max="15848" width="17.5703125" style="2" customWidth="1"/>
    <col min="15849" max="15850" width="17" style="2" customWidth="1"/>
    <col min="15851" max="15852" width="12.28515625" style="2" customWidth="1"/>
    <col min="15853" max="15853" width="1.85546875" style="2" customWidth="1"/>
    <col min="15854" max="15855" width="23.85546875" style="2" customWidth="1"/>
    <col min="15856" max="15859" width="16.28515625" style="2" customWidth="1"/>
    <col min="15860" max="16095" width="9.140625" style="2"/>
    <col min="16096" max="16096" width="18.5703125" style="2" customWidth="1"/>
    <col min="16097" max="16097" width="45.140625" style="2" customWidth="1"/>
    <col min="16098" max="16098" width="13" style="2" customWidth="1"/>
    <col min="16099" max="16099" width="10.85546875" style="2" customWidth="1"/>
    <col min="16100" max="16100" width="12.140625" style="2" customWidth="1"/>
    <col min="16101" max="16101" width="13.140625" style="2" customWidth="1"/>
    <col min="16102" max="16102" width="12.140625" style="2" customWidth="1"/>
    <col min="16103" max="16104" width="17.5703125" style="2" customWidth="1"/>
    <col min="16105" max="16106" width="17" style="2" customWidth="1"/>
    <col min="16107" max="16108" width="12.28515625" style="2" customWidth="1"/>
    <col min="16109" max="16109" width="1.85546875" style="2" customWidth="1"/>
    <col min="16110" max="16111" width="23.85546875" style="2" customWidth="1"/>
    <col min="16112" max="16115" width="16.28515625" style="2" customWidth="1"/>
    <col min="16116" max="16384" width="9.140625" style="2"/>
  </cols>
  <sheetData>
    <row r="1" spans="2:12" x14ac:dyDescent="0.2">
      <c r="B1" s="1"/>
    </row>
    <row r="2" spans="2:12" x14ac:dyDescent="0.2">
      <c r="B2" s="3" t="s">
        <v>0</v>
      </c>
      <c r="C2" s="3"/>
      <c r="D2" s="3"/>
      <c r="E2" s="3"/>
      <c r="F2" s="3"/>
      <c r="G2" s="3"/>
      <c r="H2" s="3"/>
      <c r="I2" s="3"/>
    </row>
    <row r="3" spans="2:12" x14ac:dyDescent="0.2">
      <c r="B3" s="3" t="s">
        <v>1</v>
      </c>
      <c r="C3" s="3"/>
      <c r="D3" s="3"/>
      <c r="E3" s="3"/>
      <c r="F3" s="3"/>
      <c r="G3" s="3"/>
      <c r="H3" s="3"/>
      <c r="I3" s="3"/>
    </row>
    <row r="6" spans="2:12" x14ac:dyDescent="0.2">
      <c r="B6" s="5" t="s">
        <v>2</v>
      </c>
      <c r="C6" s="6"/>
      <c r="D6" s="6"/>
      <c r="E6" s="7"/>
      <c r="F6" s="8" t="s">
        <v>3</v>
      </c>
      <c r="G6" s="9"/>
      <c r="H6" s="8" t="s">
        <v>4</v>
      </c>
      <c r="I6" s="9"/>
    </row>
    <row r="7" spans="2:12" x14ac:dyDescent="0.2">
      <c r="B7" s="10"/>
      <c r="D7" s="11" t="s">
        <v>5</v>
      </c>
      <c r="E7" s="12"/>
      <c r="F7" s="10" t="s">
        <v>97</v>
      </c>
      <c r="G7" s="13"/>
      <c r="H7" s="10" t="s">
        <v>97</v>
      </c>
      <c r="I7" s="13"/>
    </row>
    <row r="8" spans="2:12" x14ac:dyDescent="0.2">
      <c r="B8" s="15" t="s">
        <v>6</v>
      </c>
      <c r="C8" s="16"/>
      <c r="D8" s="16" t="s">
        <v>7</v>
      </c>
      <c r="E8" s="17" t="s">
        <v>8</v>
      </c>
      <c r="F8" s="15" t="s">
        <v>9</v>
      </c>
      <c r="G8" s="17" t="s">
        <v>10</v>
      </c>
      <c r="H8" s="15" t="s">
        <v>9</v>
      </c>
      <c r="I8" s="17" t="str">
        <f>G8</f>
        <v>% Change</v>
      </c>
    </row>
    <row r="9" spans="2:12" x14ac:dyDescent="0.2">
      <c r="B9" s="10"/>
      <c r="C9" s="18"/>
      <c r="D9" s="18"/>
      <c r="E9" s="14"/>
      <c r="F9" s="10"/>
      <c r="G9" s="14"/>
      <c r="H9" s="10"/>
      <c r="I9" s="14"/>
    </row>
    <row r="10" spans="2:12" x14ac:dyDescent="0.2">
      <c r="B10" s="19" t="s">
        <v>11</v>
      </c>
      <c r="C10" s="2" t="s">
        <v>12</v>
      </c>
      <c r="D10" s="20"/>
      <c r="E10" s="21">
        <f>Detail!D25</f>
        <v>530</v>
      </c>
      <c r="F10" s="22">
        <f>Detail!N25</f>
        <v>3.789999999999992</v>
      </c>
      <c r="G10" s="23">
        <f>Detail!O25</f>
        <v>1.8551150269211902E-2</v>
      </c>
      <c r="H10" s="22">
        <f>F10*12</f>
        <v>45.479999999999905</v>
      </c>
      <c r="I10" s="23">
        <f>G10</f>
        <v>1.8551150269211902E-2</v>
      </c>
    </row>
    <row r="11" spans="2:12" x14ac:dyDescent="0.2">
      <c r="B11" s="19"/>
      <c r="D11" s="20"/>
      <c r="E11" s="21"/>
      <c r="F11" s="24"/>
      <c r="G11" s="23"/>
      <c r="H11" s="22"/>
      <c r="I11" s="23"/>
    </row>
    <row r="12" spans="2:12" x14ac:dyDescent="0.2">
      <c r="B12" s="19" t="s">
        <v>13</v>
      </c>
      <c r="C12" s="2" t="s">
        <v>14</v>
      </c>
      <c r="D12" s="20"/>
      <c r="E12" s="21">
        <f>Detail!D83</f>
        <v>1713.5969793034044</v>
      </c>
      <c r="F12" s="22">
        <f>Detail!N83</f>
        <v>12.269999999999982</v>
      </c>
      <c r="G12" s="23">
        <f>Detail!O83</f>
        <v>2.4341374385018214E-2</v>
      </c>
      <c r="H12" s="22">
        <f>F12*12</f>
        <v>147.23999999999978</v>
      </c>
      <c r="I12" s="23">
        <f>G12</f>
        <v>2.4341374385018214E-2</v>
      </c>
    </row>
    <row r="13" spans="2:12" x14ac:dyDescent="0.2">
      <c r="B13" s="19" t="s">
        <v>15</v>
      </c>
      <c r="C13" s="2" t="s">
        <v>14</v>
      </c>
      <c r="D13" s="20"/>
      <c r="E13" s="21">
        <f>Detail!D100</f>
        <v>602.4030206965956</v>
      </c>
      <c r="F13" s="22">
        <f>Detail!N100</f>
        <v>4.3100000000000023</v>
      </c>
      <c r="G13" s="23">
        <f>Detail!O100</f>
        <v>1.8717158118730197E-2</v>
      </c>
      <c r="H13" s="22">
        <f>F13*12</f>
        <v>51.720000000000027</v>
      </c>
      <c r="I13" s="23">
        <f>G13</f>
        <v>1.8717158118730197E-2</v>
      </c>
    </row>
    <row r="14" spans="2:12" x14ac:dyDescent="0.2">
      <c r="B14" s="19"/>
      <c r="D14" s="20"/>
      <c r="E14" s="21"/>
      <c r="F14" s="24"/>
      <c r="G14" s="23"/>
      <c r="H14" s="22"/>
      <c r="I14" s="23"/>
    </row>
    <row r="15" spans="2:12" x14ac:dyDescent="0.2">
      <c r="B15" s="19" t="s">
        <v>16</v>
      </c>
      <c r="C15" s="2" t="s">
        <v>17</v>
      </c>
      <c r="D15" s="20"/>
      <c r="E15" s="21">
        <f>Detail!D159</f>
        <v>475</v>
      </c>
      <c r="F15" s="22">
        <f>Detail!N159</f>
        <v>1.980000000000004</v>
      </c>
      <c r="G15" s="23">
        <f>Detail!O159</f>
        <v>1.8539325842696668E-2</v>
      </c>
      <c r="H15" s="22">
        <f>F15*12</f>
        <v>23.760000000000048</v>
      </c>
      <c r="I15" s="23">
        <f>G15</f>
        <v>1.8539325842696668E-2</v>
      </c>
      <c r="L15" s="25"/>
    </row>
    <row r="16" spans="2:12" x14ac:dyDescent="0.2">
      <c r="B16" s="19"/>
      <c r="D16" s="20"/>
      <c r="E16" s="21"/>
      <c r="F16" s="22"/>
      <c r="G16" s="23"/>
      <c r="H16" s="22"/>
      <c r="I16" s="23"/>
      <c r="K16" s="26"/>
      <c r="L16" s="27"/>
    </row>
    <row r="17" spans="2:13" x14ac:dyDescent="0.2">
      <c r="B17" s="19" t="s">
        <v>18</v>
      </c>
      <c r="C17" s="2" t="s">
        <v>19</v>
      </c>
      <c r="D17" s="20"/>
      <c r="E17" s="21">
        <f>Detail!D218</f>
        <v>1713.5969793034044</v>
      </c>
      <c r="F17" s="22">
        <f>Detail!N218</f>
        <v>7.1200000000000045</v>
      </c>
      <c r="G17" s="23">
        <f>Detail!O218</f>
        <v>2.4352703765776258E-2</v>
      </c>
      <c r="H17" s="22">
        <f>F17*12</f>
        <v>85.440000000000055</v>
      </c>
      <c r="I17" s="23">
        <f>G17</f>
        <v>2.4352703765776258E-2</v>
      </c>
      <c r="K17" s="26"/>
      <c r="L17" s="27"/>
    </row>
    <row r="18" spans="2:13" x14ac:dyDescent="0.2">
      <c r="B18" s="19" t="s">
        <v>20</v>
      </c>
      <c r="C18" s="2" t="s">
        <v>19</v>
      </c>
      <c r="D18" s="20"/>
      <c r="E18" s="21">
        <f>Detail!D235</f>
        <v>602.4030206965956</v>
      </c>
      <c r="F18" s="22">
        <f>Detail!N235</f>
        <v>2.5</v>
      </c>
      <c r="G18" s="23">
        <f>Detail!O235</f>
        <v>1.8718179095537586E-2</v>
      </c>
      <c r="H18" s="22">
        <f>F18*12</f>
        <v>30</v>
      </c>
      <c r="I18" s="23">
        <f>G18</f>
        <v>1.8718179095537586E-2</v>
      </c>
      <c r="K18" s="26"/>
      <c r="L18" s="27"/>
    </row>
    <row r="19" spans="2:13" x14ac:dyDescent="0.2">
      <c r="B19" s="19"/>
      <c r="D19" s="20"/>
      <c r="E19" s="21"/>
      <c r="F19" s="22"/>
      <c r="G19" s="23"/>
      <c r="H19" s="22"/>
      <c r="I19" s="23"/>
      <c r="K19" s="26"/>
      <c r="L19" s="27"/>
    </row>
    <row r="20" spans="2:13" x14ac:dyDescent="0.2">
      <c r="B20" s="19" t="s">
        <v>21</v>
      </c>
      <c r="C20" s="2" t="s">
        <v>22</v>
      </c>
      <c r="D20" s="20"/>
      <c r="E20" s="21">
        <f>Detail!D295</f>
        <v>745</v>
      </c>
      <c r="F20" s="22">
        <f>Detail!N295</f>
        <v>5.3300000000000409</v>
      </c>
      <c r="G20" s="23">
        <f>Detail!O295</f>
        <v>1.9196139163005263E-2</v>
      </c>
      <c r="H20" s="22">
        <f>F20*12</f>
        <v>63.960000000000491</v>
      </c>
      <c r="I20" s="23">
        <f>G20</f>
        <v>1.9196139163005263E-2</v>
      </c>
    </row>
    <row r="21" spans="2:13" x14ac:dyDescent="0.2">
      <c r="B21" s="19"/>
      <c r="D21" s="20"/>
      <c r="E21" s="21"/>
      <c r="F21" s="22"/>
      <c r="G21" s="23"/>
      <c r="H21" s="22"/>
      <c r="I21" s="23"/>
    </row>
    <row r="22" spans="2:13" x14ac:dyDescent="0.2">
      <c r="B22" s="19" t="s">
        <v>23</v>
      </c>
      <c r="C22" s="2" t="s">
        <v>24</v>
      </c>
      <c r="D22" s="20"/>
      <c r="E22" s="21">
        <f>Detail!D353</f>
        <v>830</v>
      </c>
      <c r="F22" s="22">
        <f>Detail!N353</f>
        <v>3.4399999999999977</v>
      </c>
      <c r="G22" s="23">
        <f>Detail!O353</f>
        <v>1.9243678675318853E-2</v>
      </c>
      <c r="H22" s="22">
        <f>F22*12</f>
        <v>41.279999999999973</v>
      </c>
      <c r="I22" s="23">
        <f>G22</f>
        <v>1.9243678675318853E-2</v>
      </c>
    </row>
    <row r="23" spans="2:13" x14ac:dyDescent="0.2">
      <c r="B23" s="19"/>
      <c r="D23" s="20"/>
      <c r="E23" s="21"/>
      <c r="F23" s="22"/>
      <c r="G23" s="23"/>
      <c r="H23" s="22"/>
      <c r="I23" s="23"/>
    </row>
    <row r="24" spans="2:13" x14ac:dyDescent="0.2">
      <c r="B24" s="19" t="s">
        <v>25</v>
      </c>
      <c r="C24" s="2" t="s">
        <v>26</v>
      </c>
      <c r="D24" s="20"/>
      <c r="E24" s="21">
        <v>1650</v>
      </c>
      <c r="F24" s="22">
        <f>Detail!N409</f>
        <v>13.350000000000023</v>
      </c>
      <c r="G24" s="23">
        <f>Detail!O409</f>
        <v>2.4916478471042804E-2</v>
      </c>
      <c r="H24" s="22">
        <f>F24*12</f>
        <v>160.20000000000027</v>
      </c>
      <c r="I24" s="23">
        <f>G24</f>
        <v>2.4916478471042804E-2</v>
      </c>
      <c r="M24" s="2" t="s">
        <v>27</v>
      </c>
    </row>
    <row r="25" spans="2:13" x14ac:dyDescent="0.2">
      <c r="B25" s="19"/>
      <c r="D25" s="20"/>
      <c r="E25" s="21"/>
      <c r="F25" s="22"/>
      <c r="G25" s="23"/>
      <c r="H25" s="22"/>
      <c r="I25" s="23"/>
    </row>
    <row r="26" spans="2:13" x14ac:dyDescent="0.2">
      <c r="B26" s="19" t="s">
        <v>28</v>
      </c>
      <c r="C26" s="2" t="s">
        <v>29</v>
      </c>
      <c r="D26" s="20">
        <v>215</v>
      </c>
      <c r="E26" s="21">
        <v>39775</v>
      </c>
      <c r="F26" s="22">
        <f>Detail!N463</f>
        <v>321.77999999999884</v>
      </c>
      <c r="G26" s="23">
        <f>Detail!O463</f>
        <v>2.1406048349542902E-2</v>
      </c>
      <c r="H26" s="22">
        <f>F26*12</f>
        <v>3861.359999999986</v>
      </c>
      <c r="I26" s="23">
        <f>G26</f>
        <v>2.1406048349542902E-2</v>
      </c>
    </row>
    <row r="27" spans="2:13" x14ac:dyDescent="0.2">
      <c r="B27" s="19" t="s">
        <v>28</v>
      </c>
      <c r="C27" s="2" t="s">
        <v>29</v>
      </c>
      <c r="D27" s="20">
        <v>209</v>
      </c>
      <c r="E27" s="21">
        <v>75240</v>
      </c>
      <c r="F27" s="22">
        <f>Detail!N473</f>
        <v>608.69000000000233</v>
      </c>
      <c r="G27" s="23">
        <f>Detail!O473</f>
        <v>2.4689590329406905E-2</v>
      </c>
      <c r="H27" s="22">
        <f>F27*12</f>
        <v>7304.2800000000279</v>
      </c>
      <c r="I27" s="23">
        <f>G27</f>
        <v>2.4689590329406905E-2</v>
      </c>
    </row>
    <row r="28" spans="2:13" x14ac:dyDescent="0.2">
      <c r="B28" s="19" t="s">
        <v>28</v>
      </c>
      <c r="C28" s="2" t="s">
        <v>29</v>
      </c>
      <c r="D28" s="20">
        <v>207</v>
      </c>
      <c r="E28" s="21">
        <v>101430</v>
      </c>
      <c r="F28" s="22">
        <f>Detail!N483</f>
        <v>820.56999999999971</v>
      </c>
      <c r="G28" s="23">
        <f>Detail!O483</f>
        <v>2.5802952071292448E-2</v>
      </c>
      <c r="H28" s="22">
        <f>F28*12</f>
        <v>9846.8399999999965</v>
      </c>
      <c r="I28" s="23">
        <f>G28</f>
        <v>2.5802952071292448E-2</v>
      </c>
    </row>
    <row r="29" spans="2:13" x14ac:dyDescent="0.2">
      <c r="B29" s="19"/>
      <c r="D29" s="20"/>
      <c r="E29" s="21"/>
      <c r="F29" s="22"/>
      <c r="G29" s="23"/>
      <c r="H29" s="22"/>
      <c r="I29" s="23"/>
    </row>
    <row r="30" spans="2:13" x14ac:dyDescent="0.2">
      <c r="B30" s="19" t="s">
        <v>30</v>
      </c>
      <c r="C30" s="2" t="s">
        <v>31</v>
      </c>
      <c r="D30" s="20">
        <v>920</v>
      </c>
      <c r="E30" s="21">
        <v>230000</v>
      </c>
      <c r="F30" s="22">
        <f>Detail!N536</f>
        <v>1860.6999999999971</v>
      </c>
      <c r="G30" s="23">
        <f>Detail!O536</f>
        <v>2.4096494760984025E-2</v>
      </c>
      <c r="H30" s="22">
        <f>F30*12</f>
        <v>22328.399999999965</v>
      </c>
      <c r="I30" s="23">
        <f>G30</f>
        <v>2.4096494760984025E-2</v>
      </c>
    </row>
    <row r="31" spans="2:13" x14ac:dyDescent="0.2">
      <c r="B31" s="19" t="s">
        <v>30</v>
      </c>
      <c r="C31" s="2" t="s">
        <v>31</v>
      </c>
      <c r="D31" s="20">
        <v>933</v>
      </c>
      <c r="E31" s="21">
        <v>373200</v>
      </c>
      <c r="F31" s="22">
        <f>Detail!N544</f>
        <v>3019.1900000000023</v>
      </c>
      <c r="G31" s="23">
        <f>Detail!O544</f>
        <v>2.6347777679941009E-2</v>
      </c>
      <c r="H31" s="22">
        <f>F31*12</f>
        <v>36230.280000000028</v>
      </c>
      <c r="I31" s="23">
        <f>G31</f>
        <v>2.6347777679941009E-2</v>
      </c>
    </row>
    <row r="32" spans="2:13" x14ac:dyDescent="0.2">
      <c r="B32" s="19" t="s">
        <v>30</v>
      </c>
      <c r="C32" s="2" t="s">
        <v>31</v>
      </c>
      <c r="D32" s="20">
        <v>930</v>
      </c>
      <c r="E32" s="21">
        <v>497550</v>
      </c>
      <c r="F32" s="22">
        <f>Detail!N552</f>
        <v>4025.1800000000221</v>
      </c>
      <c r="G32" s="23">
        <f>Detail!O552</f>
        <v>2.7422594417050479E-2</v>
      </c>
      <c r="H32" s="22">
        <f>F32*12</f>
        <v>48302.160000000265</v>
      </c>
      <c r="I32" s="23">
        <f>G32</f>
        <v>2.7422594417050479E-2</v>
      </c>
    </row>
    <row r="33" spans="2:10" x14ac:dyDescent="0.2">
      <c r="B33" s="19"/>
      <c r="E33" s="28"/>
      <c r="F33" s="22"/>
      <c r="G33" s="28"/>
      <c r="H33" s="22"/>
      <c r="I33" s="28"/>
    </row>
    <row r="34" spans="2:10" x14ac:dyDescent="0.2">
      <c r="B34" s="19" t="s">
        <v>32</v>
      </c>
      <c r="C34" s="2" t="s">
        <v>33</v>
      </c>
      <c r="D34" s="29">
        <f>Detail!D605</f>
        <v>50</v>
      </c>
      <c r="E34" s="30">
        <v>5000</v>
      </c>
      <c r="F34" s="22">
        <f>Detail!N605</f>
        <v>40.450000000000045</v>
      </c>
      <c r="G34" s="31">
        <f>Detail!O605</f>
        <v>2.2704947938592825E-2</v>
      </c>
      <c r="H34" s="22">
        <f>F34*12</f>
        <v>485.40000000000055</v>
      </c>
      <c r="I34" s="23">
        <f>G34</f>
        <v>2.2704947938592825E-2</v>
      </c>
    </row>
    <row r="35" spans="2:10" x14ac:dyDescent="0.2">
      <c r="B35" s="19" t="s">
        <v>32</v>
      </c>
      <c r="C35" s="2" t="s">
        <v>33</v>
      </c>
      <c r="D35" s="29">
        <f>Detail!D613</f>
        <v>35</v>
      </c>
      <c r="E35" s="30">
        <v>7525</v>
      </c>
      <c r="F35" s="22">
        <f>Detail!N613</f>
        <v>60.869999999999891</v>
      </c>
      <c r="G35" s="31">
        <f>Detail!O613</f>
        <v>2.677275486237559E-2</v>
      </c>
      <c r="H35" s="22">
        <f>F35*12</f>
        <v>730.43999999999869</v>
      </c>
      <c r="I35" s="23">
        <f>G35</f>
        <v>2.677275486237559E-2</v>
      </c>
      <c r="J35" s="2" t="s">
        <v>27</v>
      </c>
    </row>
    <row r="36" spans="2:10" x14ac:dyDescent="0.2">
      <c r="B36" s="19" t="s">
        <v>32</v>
      </c>
      <c r="C36" s="2" t="s">
        <v>33</v>
      </c>
      <c r="D36" s="29">
        <f>Detail!D621</f>
        <v>27</v>
      </c>
      <c r="E36" s="30">
        <v>10530</v>
      </c>
      <c r="F36" s="22">
        <f>Detail!N621</f>
        <v>85.1899999999996</v>
      </c>
      <c r="G36" s="31">
        <f>Detail!O621</f>
        <v>2.880911719450114E-2</v>
      </c>
      <c r="H36" s="22">
        <f>F36*12</f>
        <v>1022.2799999999952</v>
      </c>
      <c r="I36" s="23">
        <f>G36</f>
        <v>2.880911719450114E-2</v>
      </c>
    </row>
    <row r="37" spans="2:10" x14ac:dyDescent="0.2">
      <c r="B37" s="19"/>
      <c r="D37" s="29"/>
      <c r="E37" s="30"/>
      <c r="F37" s="22"/>
      <c r="G37" s="31"/>
      <c r="H37" s="22"/>
      <c r="I37" s="23"/>
    </row>
    <row r="38" spans="2:10" x14ac:dyDescent="0.2">
      <c r="B38" s="19" t="s">
        <v>34</v>
      </c>
      <c r="C38" s="2" t="s">
        <v>35</v>
      </c>
      <c r="D38" s="32">
        <f>Detail!D675</f>
        <v>9</v>
      </c>
      <c r="E38" s="30">
        <f>Detail!E675</f>
        <v>2340</v>
      </c>
      <c r="F38" s="22">
        <f>Detail!N675</f>
        <v>18.930600000000027</v>
      </c>
      <c r="G38" s="31">
        <f>Detail!O675</f>
        <v>2.5185583127551189E-2</v>
      </c>
      <c r="H38" s="22">
        <f>F38*12</f>
        <v>227.16720000000032</v>
      </c>
      <c r="I38" s="23">
        <f>G38</f>
        <v>2.5185583127551189E-2</v>
      </c>
    </row>
    <row r="39" spans="2:10" x14ac:dyDescent="0.2">
      <c r="B39" s="19" t="s">
        <v>34</v>
      </c>
      <c r="C39" s="2" t="s">
        <v>35</v>
      </c>
      <c r="D39" s="33">
        <f>Detail!D683</f>
        <v>6</v>
      </c>
      <c r="E39" s="34">
        <f>Detail!E683</f>
        <v>2970</v>
      </c>
      <c r="F39" s="22">
        <f>Detail!N683</f>
        <v>24.027299999999968</v>
      </c>
      <c r="G39" s="31">
        <f>Detail!O683</f>
        <v>2.6029258419144441E-2</v>
      </c>
      <c r="H39" s="22">
        <f>F39*12</f>
        <v>288.32759999999962</v>
      </c>
      <c r="I39" s="23">
        <f>G39</f>
        <v>2.6029258419144441E-2</v>
      </c>
    </row>
    <row r="40" spans="2:10" x14ac:dyDescent="0.2">
      <c r="B40" s="35" t="s">
        <v>34</v>
      </c>
      <c r="C40" s="36" t="s">
        <v>35</v>
      </c>
      <c r="D40" s="37">
        <f>Detail!D691</f>
        <v>7</v>
      </c>
      <c r="E40" s="38">
        <f>Detail!E691</f>
        <v>4375</v>
      </c>
      <c r="F40" s="39">
        <f>Detail!N691</f>
        <v>35.393749999999955</v>
      </c>
      <c r="G40" s="40">
        <f>Detail!O691</f>
        <v>2.6380750204621977E-2</v>
      </c>
      <c r="H40" s="39">
        <f>F40*12</f>
        <v>424.72499999999945</v>
      </c>
      <c r="I40" s="41">
        <f>G40</f>
        <v>2.6380750204621977E-2</v>
      </c>
    </row>
    <row r="41" spans="2:10" x14ac:dyDescent="0.2">
      <c r="C41" s="2" t="s">
        <v>27</v>
      </c>
      <c r="H41" s="42"/>
    </row>
    <row r="42" spans="2:10" x14ac:dyDescent="0.2">
      <c r="B42" s="2" t="s">
        <v>36</v>
      </c>
      <c r="I42" s="2" t="s">
        <v>27</v>
      </c>
    </row>
    <row r="43" spans="2:10" x14ac:dyDescent="0.2">
      <c r="B43" s="2" t="s">
        <v>37</v>
      </c>
    </row>
    <row r="44" spans="2:10" x14ac:dyDescent="0.2">
      <c r="B44" s="2" t="s">
        <v>38</v>
      </c>
    </row>
    <row r="46" spans="2:10" x14ac:dyDescent="0.2">
      <c r="D46" s="43"/>
      <c r="F46" s="44"/>
      <c r="G46" s="4"/>
      <c r="H46" s="44"/>
      <c r="I46" s="4"/>
    </row>
    <row r="47" spans="2:10" x14ac:dyDescent="0.2">
      <c r="D47" s="43"/>
      <c r="F47" s="44"/>
      <c r="G47" s="4"/>
      <c r="H47" s="44"/>
      <c r="I47" s="4"/>
    </row>
  </sheetData>
  <mergeCells count="6">
    <mergeCell ref="D7:E7"/>
    <mergeCell ref="B2:I2"/>
    <mergeCell ref="B3:I3"/>
    <mergeCell ref="B6:E6"/>
    <mergeCell ref="F6:G6"/>
    <mergeCell ref="H6:I6"/>
  </mergeCells>
  <printOptions horizontalCentered="1"/>
  <pageMargins left="0.7" right="0.7" top="1" bottom="0.75" header="0.5" footer="0.3"/>
  <pageSetup scale="87" orientation="landscape" r:id="rId1"/>
  <headerFooter>
    <oddHeader>&amp;R&amp;"Arial,Regular"&amp;10Cape Light Compact JPE
D.P.U. 26-146
Exhibit 3, Bill Impact Summary
October 30, 2026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5081-55A1-4B9A-9832-04EFABCD7070}">
  <sheetPr codeName="Sheet27"/>
  <dimension ref="A1:T732"/>
  <sheetViews>
    <sheetView showGridLines="0" zoomScale="85" zoomScaleNormal="85" workbookViewId="0"/>
  </sheetViews>
  <sheetFormatPr defaultRowHeight="15" x14ac:dyDescent="0.2"/>
  <cols>
    <col min="1" max="1" width="3" style="46" customWidth="1"/>
    <col min="2" max="2" width="4.42578125" style="46" bestFit="1" customWidth="1"/>
    <col min="3" max="3" width="5" style="46" customWidth="1"/>
    <col min="4" max="5" width="16.42578125" style="46" customWidth="1"/>
    <col min="6" max="6" width="13.28515625" style="46" customWidth="1"/>
    <col min="7" max="7" width="13.5703125" style="46" customWidth="1"/>
    <col min="8" max="8" width="15.85546875" style="46" customWidth="1"/>
    <col min="9" max="9" width="2.5703125" style="46" customWidth="1"/>
    <col min="10" max="10" width="14.28515625" style="46" bestFit="1" customWidth="1"/>
    <col min="11" max="11" width="13.5703125" style="46" bestFit="1" customWidth="1"/>
    <col min="12" max="12" width="16.28515625" style="46" bestFit="1" customWidth="1"/>
    <col min="13" max="13" width="2.5703125" style="46" customWidth="1"/>
    <col min="14" max="14" width="16.28515625" style="46" bestFit="1" customWidth="1"/>
    <col min="15" max="15" width="10.5703125" style="46" bestFit="1" customWidth="1"/>
    <col min="16" max="16" width="2.5703125" style="46" customWidth="1"/>
    <col min="17" max="17" width="12.85546875" style="46" bestFit="1" customWidth="1"/>
    <col min="18" max="18" width="16.28515625" style="46" bestFit="1" customWidth="1"/>
    <col min="19" max="216" width="9.140625" style="46"/>
    <col min="217" max="218" width="14.28515625" style="46" customWidth="1"/>
    <col min="219" max="224" width="18.28515625" style="46" customWidth="1"/>
    <col min="225" max="225" width="23.85546875" style="46" customWidth="1"/>
    <col min="226" max="226" width="18.28515625" style="46" customWidth="1"/>
    <col min="227" max="227" width="17.140625" style="46" customWidth="1"/>
    <col min="228" max="230" width="15.5703125" style="46" customWidth="1"/>
    <col min="231" max="241" width="0" style="46" hidden="1" customWidth="1"/>
    <col min="242" max="472" width="9.140625" style="46"/>
    <col min="473" max="474" width="14.28515625" style="46" customWidth="1"/>
    <col min="475" max="480" width="18.28515625" style="46" customWidth="1"/>
    <col min="481" max="481" width="23.85546875" style="46" customWidth="1"/>
    <col min="482" max="482" width="18.28515625" style="46" customWidth="1"/>
    <col min="483" max="483" width="17.140625" style="46" customWidth="1"/>
    <col min="484" max="486" width="15.5703125" style="46" customWidth="1"/>
    <col min="487" max="497" width="0" style="46" hidden="1" customWidth="1"/>
    <col min="498" max="728" width="9.140625" style="46"/>
    <col min="729" max="730" width="14.28515625" style="46" customWidth="1"/>
    <col min="731" max="736" width="18.28515625" style="46" customWidth="1"/>
    <col min="737" max="737" width="23.85546875" style="46" customWidth="1"/>
    <col min="738" max="738" width="18.28515625" style="46" customWidth="1"/>
    <col min="739" max="739" width="17.140625" style="46" customWidth="1"/>
    <col min="740" max="742" width="15.5703125" style="46" customWidth="1"/>
    <col min="743" max="753" width="0" style="46" hidden="1" customWidth="1"/>
    <col min="754" max="984" width="9.140625" style="46"/>
    <col min="985" max="986" width="14.28515625" style="46" customWidth="1"/>
    <col min="987" max="992" width="18.28515625" style="46" customWidth="1"/>
    <col min="993" max="993" width="23.85546875" style="46" customWidth="1"/>
    <col min="994" max="994" width="18.28515625" style="46" customWidth="1"/>
    <col min="995" max="995" width="17.140625" style="46" customWidth="1"/>
    <col min="996" max="998" width="15.5703125" style="46" customWidth="1"/>
    <col min="999" max="1009" width="0" style="46" hidden="1" customWidth="1"/>
    <col min="1010" max="1240" width="9.140625" style="46"/>
    <col min="1241" max="1242" width="14.28515625" style="46" customWidth="1"/>
    <col min="1243" max="1248" width="18.28515625" style="46" customWidth="1"/>
    <col min="1249" max="1249" width="23.85546875" style="46" customWidth="1"/>
    <col min="1250" max="1250" width="18.28515625" style="46" customWidth="1"/>
    <col min="1251" max="1251" width="17.140625" style="46" customWidth="1"/>
    <col min="1252" max="1254" width="15.5703125" style="46" customWidth="1"/>
    <col min="1255" max="1265" width="0" style="46" hidden="1" customWidth="1"/>
    <col min="1266" max="1496" width="9.140625" style="46"/>
    <col min="1497" max="1498" width="14.28515625" style="46" customWidth="1"/>
    <col min="1499" max="1504" width="18.28515625" style="46" customWidth="1"/>
    <col min="1505" max="1505" width="23.85546875" style="46" customWidth="1"/>
    <col min="1506" max="1506" width="18.28515625" style="46" customWidth="1"/>
    <col min="1507" max="1507" width="17.140625" style="46" customWidth="1"/>
    <col min="1508" max="1510" width="15.5703125" style="46" customWidth="1"/>
    <col min="1511" max="1521" width="0" style="46" hidden="1" customWidth="1"/>
    <col min="1522" max="1752" width="9.140625" style="46"/>
    <col min="1753" max="1754" width="14.28515625" style="46" customWidth="1"/>
    <col min="1755" max="1760" width="18.28515625" style="46" customWidth="1"/>
    <col min="1761" max="1761" width="23.85546875" style="46" customWidth="1"/>
    <col min="1762" max="1762" width="18.28515625" style="46" customWidth="1"/>
    <col min="1763" max="1763" width="17.140625" style="46" customWidth="1"/>
    <col min="1764" max="1766" width="15.5703125" style="46" customWidth="1"/>
    <col min="1767" max="1777" width="0" style="46" hidden="1" customWidth="1"/>
    <col min="1778" max="2008" width="9.140625" style="46"/>
    <col min="2009" max="2010" width="14.28515625" style="46" customWidth="1"/>
    <col min="2011" max="2016" width="18.28515625" style="46" customWidth="1"/>
    <col min="2017" max="2017" width="23.85546875" style="46" customWidth="1"/>
    <col min="2018" max="2018" width="18.28515625" style="46" customWidth="1"/>
    <col min="2019" max="2019" width="17.140625" style="46" customWidth="1"/>
    <col min="2020" max="2022" width="15.5703125" style="46" customWidth="1"/>
    <col min="2023" max="2033" width="0" style="46" hidden="1" customWidth="1"/>
    <col min="2034" max="2264" width="9.140625" style="46"/>
    <col min="2265" max="2266" width="14.28515625" style="46" customWidth="1"/>
    <col min="2267" max="2272" width="18.28515625" style="46" customWidth="1"/>
    <col min="2273" max="2273" width="23.85546875" style="46" customWidth="1"/>
    <col min="2274" max="2274" width="18.28515625" style="46" customWidth="1"/>
    <col min="2275" max="2275" width="17.140625" style="46" customWidth="1"/>
    <col min="2276" max="2278" width="15.5703125" style="46" customWidth="1"/>
    <col min="2279" max="2289" width="0" style="46" hidden="1" customWidth="1"/>
    <col min="2290" max="2520" width="9.140625" style="46"/>
    <col min="2521" max="2522" width="14.28515625" style="46" customWidth="1"/>
    <col min="2523" max="2528" width="18.28515625" style="46" customWidth="1"/>
    <col min="2529" max="2529" width="23.85546875" style="46" customWidth="1"/>
    <col min="2530" max="2530" width="18.28515625" style="46" customWidth="1"/>
    <col min="2531" max="2531" width="17.140625" style="46" customWidth="1"/>
    <col min="2532" max="2534" width="15.5703125" style="46" customWidth="1"/>
    <col min="2535" max="2545" width="0" style="46" hidden="1" customWidth="1"/>
    <col min="2546" max="2776" width="9.140625" style="46"/>
    <col min="2777" max="2778" width="14.28515625" style="46" customWidth="1"/>
    <col min="2779" max="2784" width="18.28515625" style="46" customWidth="1"/>
    <col min="2785" max="2785" width="23.85546875" style="46" customWidth="1"/>
    <col min="2786" max="2786" width="18.28515625" style="46" customWidth="1"/>
    <col min="2787" max="2787" width="17.140625" style="46" customWidth="1"/>
    <col min="2788" max="2790" width="15.5703125" style="46" customWidth="1"/>
    <col min="2791" max="2801" width="0" style="46" hidden="1" customWidth="1"/>
    <col min="2802" max="3032" width="9.140625" style="46"/>
    <col min="3033" max="3034" width="14.28515625" style="46" customWidth="1"/>
    <col min="3035" max="3040" width="18.28515625" style="46" customWidth="1"/>
    <col min="3041" max="3041" width="23.85546875" style="46" customWidth="1"/>
    <col min="3042" max="3042" width="18.28515625" style="46" customWidth="1"/>
    <col min="3043" max="3043" width="17.140625" style="46" customWidth="1"/>
    <col min="3044" max="3046" width="15.5703125" style="46" customWidth="1"/>
    <col min="3047" max="3057" width="0" style="46" hidden="1" customWidth="1"/>
    <col min="3058" max="3288" width="9.140625" style="46"/>
    <col min="3289" max="3290" width="14.28515625" style="46" customWidth="1"/>
    <col min="3291" max="3296" width="18.28515625" style="46" customWidth="1"/>
    <col min="3297" max="3297" width="23.85546875" style="46" customWidth="1"/>
    <col min="3298" max="3298" width="18.28515625" style="46" customWidth="1"/>
    <col min="3299" max="3299" width="17.140625" style="46" customWidth="1"/>
    <col min="3300" max="3302" width="15.5703125" style="46" customWidth="1"/>
    <col min="3303" max="3313" width="0" style="46" hidden="1" customWidth="1"/>
    <col min="3314" max="3544" width="9.140625" style="46"/>
    <col min="3545" max="3546" width="14.28515625" style="46" customWidth="1"/>
    <col min="3547" max="3552" width="18.28515625" style="46" customWidth="1"/>
    <col min="3553" max="3553" width="23.85546875" style="46" customWidth="1"/>
    <col min="3554" max="3554" width="18.28515625" style="46" customWidth="1"/>
    <col min="3555" max="3555" width="17.140625" style="46" customWidth="1"/>
    <col min="3556" max="3558" width="15.5703125" style="46" customWidth="1"/>
    <col min="3559" max="3569" width="0" style="46" hidden="1" customWidth="1"/>
    <col min="3570" max="3800" width="9.140625" style="46"/>
    <col min="3801" max="3802" width="14.28515625" style="46" customWidth="1"/>
    <col min="3803" max="3808" width="18.28515625" style="46" customWidth="1"/>
    <col min="3809" max="3809" width="23.85546875" style="46" customWidth="1"/>
    <col min="3810" max="3810" width="18.28515625" style="46" customWidth="1"/>
    <col min="3811" max="3811" width="17.140625" style="46" customWidth="1"/>
    <col min="3812" max="3814" width="15.5703125" style="46" customWidth="1"/>
    <col min="3815" max="3825" width="0" style="46" hidden="1" customWidth="1"/>
    <col min="3826" max="4056" width="9.140625" style="46"/>
    <col min="4057" max="4058" width="14.28515625" style="46" customWidth="1"/>
    <col min="4059" max="4064" width="18.28515625" style="46" customWidth="1"/>
    <col min="4065" max="4065" width="23.85546875" style="46" customWidth="1"/>
    <col min="4066" max="4066" width="18.28515625" style="46" customWidth="1"/>
    <col min="4067" max="4067" width="17.140625" style="46" customWidth="1"/>
    <col min="4068" max="4070" width="15.5703125" style="46" customWidth="1"/>
    <col min="4071" max="4081" width="0" style="46" hidden="1" customWidth="1"/>
    <col min="4082" max="4312" width="9.140625" style="46"/>
    <col min="4313" max="4314" width="14.28515625" style="46" customWidth="1"/>
    <col min="4315" max="4320" width="18.28515625" style="46" customWidth="1"/>
    <col min="4321" max="4321" width="23.85546875" style="46" customWidth="1"/>
    <col min="4322" max="4322" width="18.28515625" style="46" customWidth="1"/>
    <col min="4323" max="4323" width="17.140625" style="46" customWidth="1"/>
    <col min="4324" max="4326" width="15.5703125" style="46" customWidth="1"/>
    <col min="4327" max="4337" width="0" style="46" hidden="1" customWidth="1"/>
    <col min="4338" max="4568" width="9.140625" style="46"/>
    <col min="4569" max="4570" width="14.28515625" style="46" customWidth="1"/>
    <col min="4571" max="4576" width="18.28515625" style="46" customWidth="1"/>
    <col min="4577" max="4577" width="23.85546875" style="46" customWidth="1"/>
    <col min="4578" max="4578" width="18.28515625" style="46" customWidth="1"/>
    <col min="4579" max="4579" width="17.140625" style="46" customWidth="1"/>
    <col min="4580" max="4582" width="15.5703125" style="46" customWidth="1"/>
    <col min="4583" max="4593" width="0" style="46" hidden="1" customWidth="1"/>
    <col min="4594" max="4824" width="9.140625" style="46"/>
    <col min="4825" max="4826" width="14.28515625" style="46" customWidth="1"/>
    <col min="4827" max="4832" width="18.28515625" style="46" customWidth="1"/>
    <col min="4833" max="4833" width="23.85546875" style="46" customWidth="1"/>
    <col min="4834" max="4834" width="18.28515625" style="46" customWidth="1"/>
    <col min="4835" max="4835" width="17.140625" style="46" customWidth="1"/>
    <col min="4836" max="4838" width="15.5703125" style="46" customWidth="1"/>
    <col min="4839" max="4849" width="0" style="46" hidden="1" customWidth="1"/>
    <col min="4850" max="5080" width="9.140625" style="46"/>
    <col min="5081" max="5082" width="14.28515625" style="46" customWidth="1"/>
    <col min="5083" max="5088" width="18.28515625" style="46" customWidth="1"/>
    <col min="5089" max="5089" width="23.85546875" style="46" customWidth="1"/>
    <col min="5090" max="5090" width="18.28515625" style="46" customWidth="1"/>
    <col min="5091" max="5091" width="17.140625" style="46" customWidth="1"/>
    <col min="5092" max="5094" width="15.5703125" style="46" customWidth="1"/>
    <col min="5095" max="5105" width="0" style="46" hidden="1" customWidth="1"/>
    <col min="5106" max="5336" width="9.140625" style="46"/>
    <col min="5337" max="5338" width="14.28515625" style="46" customWidth="1"/>
    <col min="5339" max="5344" width="18.28515625" style="46" customWidth="1"/>
    <col min="5345" max="5345" width="23.85546875" style="46" customWidth="1"/>
    <col min="5346" max="5346" width="18.28515625" style="46" customWidth="1"/>
    <col min="5347" max="5347" width="17.140625" style="46" customWidth="1"/>
    <col min="5348" max="5350" width="15.5703125" style="46" customWidth="1"/>
    <col min="5351" max="5361" width="0" style="46" hidden="1" customWidth="1"/>
    <col min="5362" max="5592" width="9.140625" style="46"/>
    <col min="5593" max="5594" width="14.28515625" style="46" customWidth="1"/>
    <col min="5595" max="5600" width="18.28515625" style="46" customWidth="1"/>
    <col min="5601" max="5601" width="23.85546875" style="46" customWidth="1"/>
    <col min="5602" max="5602" width="18.28515625" style="46" customWidth="1"/>
    <col min="5603" max="5603" width="17.140625" style="46" customWidth="1"/>
    <col min="5604" max="5606" width="15.5703125" style="46" customWidth="1"/>
    <col min="5607" max="5617" width="0" style="46" hidden="1" customWidth="1"/>
    <col min="5618" max="5848" width="9.140625" style="46"/>
    <col min="5849" max="5850" width="14.28515625" style="46" customWidth="1"/>
    <col min="5851" max="5856" width="18.28515625" style="46" customWidth="1"/>
    <col min="5857" max="5857" width="23.85546875" style="46" customWidth="1"/>
    <col min="5858" max="5858" width="18.28515625" style="46" customWidth="1"/>
    <col min="5859" max="5859" width="17.140625" style="46" customWidth="1"/>
    <col min="5860" max="5862" width="15.5703125" style="46" customWidth="1"/>
    <col min="5863" max="5873" width="0" style="46" hidden="1" customWidth="1"/>
    <col min="5874" max="6104" width="9.140625" style="46"/>
    <col min="6105" max="6106" width="14.28515625" style="46" customWidth="1"/>
    <col min="6107" max="6112" width="18.28515625" style="46" customWidth="1"/>
    <col min="6113" max="6113" width="23.85546875" style="46" customWidth="1"/>
    <col min="6114" max="6114" width="18.28515625" style="46" customWidth="1"/>
    <col min="6115" max="6115" width="17.140625" style="46" customWidth="1"/>
    <col min="6116" max="6118" width="15.5703125" style="46" customWidth="1"/>
    <col min="6119" max="6129" width="0" style="46" hidden="1" customWidth="1"/>
    <col min="6130" max="6360" width="9.140625" style="46"/>
    <col min="6361" max="6362" width="14.28515625" style="46" customWidth="1"/>
    <col min="6363" max="6368" width="18.28515625" style="46" customWidth="1"/>
    <col min="6369" max="6369" width="23.85546875" style="46" customWidth="1"/>
    <col min="6370" max="6370" width="18.28515625" style="46" customWidth="1"/>
    <col min="6371" max="6371" width="17.140625" style="46" customWidth="1"/>
    <col min="6372" max="6374" width="15.5703125" style="46" customWidth="1"/>
    <col min="6375" max="6385" width="0" style="46" hidden="1" customWidth="1"/>
    <col min="6386" max="6616" width="9.140625" style="46"/>
    <col min="6617" max="6618" width="14.28515625" style="46" customWidth="1"/>
    <col min="6619" max="6624" width="18.28515625" style="46" customWidth="1"/>
    <col min="6625" max="6625" width="23.85546875" style="46" customWidth="1"/>
    <col min="6626" max="6626" width="18.28515625" style="46" customWidth="1"/>
    <col min="6627" max="6627" width="17.140625" style="46" customWidth="1"/>
    <col min="6628" max="6630" width="15.5703125" style="46" customWidth="1"/>
    <col min="6631" max="6641" width="0" style="46" hidden="1" customWidth="1"/>
    <col min="6642" max="6872" width="9.140625" style="46"/>
    <col min="6873" max="6874" width="14.28515625" style="46" customWidth="1"/>
    <col min="6875" max="6880" width="18.28515625" style="46" customWidth="1"/>
    <col min="6881" max="6881" width="23.85546875" style="46" customWidth="1"/>
    <col min="6882" max="6882" width="18.28515625" style="46" customWidth="1"/>
    <col min="6883" max="6883" width="17.140625" style="46" customWidth="1"/>
    <col min="6884" max="6886" width="15.5703125" style="46" customWidth="1"/>
    <col min="6887" max="6897" width="0" style="46" hidden="1" customWidth="1"/>
    <col min="6898" max="7128" width="9.140625" style="46"/>
    <col min="7129" max="7130" width="14.28515625" style="46" customWidth="1"/>
    <col min="7131" max="7136" width="18.28515625" style="46" customWidth="1"/>
    <col min="7137" max="7137" width="23.85546875" style="46" customWidth="1"/>
    <col min="7138" max="7138" width="18.28515625" style="46" customWidth="1"/>
    <col min="7139" max="7139" width="17.140625" style="46" customWidth="1"/>
    <col min="7140" max="7142" width="15.5703125" style="46" customWidth="1"/>
    <col min="7143" max="7153" width="0" style="46" hidden="1" customWidth="1"/>
    <col min="7154" max="7384" width="9.140625" style="46"/>
    <col min="7385" max="7386" width="14.28515625" style="46" customWidth="1"/>
    <col min="7387" max="7392" width="18.28515625" style="46" customWidth="1"/>
    <col min="7393" max="7393" width="23.85546875" style="46" customWidth="1"/>
    <col min="7394" max="7394" width="18.28515625" style="46" customWidth="1"/>
    <col min="7395" max="7395" width="17.140625" style="46" customWidth="1"/>
    <col min="7396" max="7398" width="15.5703125" style="46" customWidth="1"/>
    <col min="7399" max="7409" width="0" style="46" hidden="1" customWidth="1"/>
    <col min="7410" max="7640" width="9.140625" style="46"/>
    <col min="7641" max="7642" width="14.28515625" style="46" customWidth="1"/>
    <col min="7643" max="7648" width="18.28515625" style="46" customWidth="1"/>
    <col min="7649" max="7649" width="23.85546875" style="46" customWidth="1"/>
    <col min="7650" max="7650" width="18.28515625" style="46" customWidth="1"/>
    <col min="7651" max="7651" width="17.140625" style="46" customWidth="1"/>
    <col min="7652" max="7654" width="15.5703125" style="46" customWidth="1"/>
    <col min="7655" max="7665" width="0" style="46" hidden="1" customWidth="1"/>
    <col min="7666" max="7896" width="9.140625" style="46"/>
    <col min="7897" max="7898" width="14.28515625" style="46" customWidth="1"/>
    <col min="7899" max="7904" width="18.28515625" style="46" customWidth="1"/>
    <col min="7905" max="7905" width="23.85546875" style="46" customWidth="1"/>
    <col min="7906" max="7906" width="18.28515625" style="46" customWidth="1"/>
    <col min="7907" max="7907" width="17.140625" style="46" customWidth="1"/>
    <col min="7908" max="7910" width="15.5703125" style="46" customWidth="1"/>
    <col min="7911" max="7921" width="0" style="46" hidden="1" customWidth="1"/>
    <col min="7922" max="8152" width="9.140625" style="46"/>
    <col min="8153" max="8154" width="14.28515625" style="46" customWidth="1"/>
    <col min="8155" max="8160" width="18.28515625" style="46" customWidth="1"/>
    <col min="8161" max="8161" width="23.85546875" style="46" customWidth="1"/>
    <col min="8162" max="8162" width="18.28515625" style="46" customWidth="1"/>
    <col min="8163" max="8163" width="17.140625" style="46" customWidth="1"/>
    <col min="8164" max="8166" width="15.5703125" style="46" customWidth="1"/>
    <col min="8167" max="8177" width="0" style="46" hidden="1" customWidth="1"/>
    <col min="8178" max="8408" width="9.140625" style="46"/>
    <col min="8409" max="8410" width="14.28515625" style="46" customWidth="1"/>
    <col min="8411" max="8416" width="18.28515625" style="46" customWidth="1"/>
    <col min="8417" max="8417" width="23.85546875" style="46" customWidth="1"/>
    <col min="8418" max="8418" width="18.28515625" style="46" customWidth="1"/>
    <col min="8419" max="8419" width="17.140625" style="46" customWidth="1"/>
    <col min="8420" max="8422" width="15.5703125" style="46" customWidth="1"/>
    <col min="8423" max="8433" width="0" style="46" hidden="1" customWidth="1"/>
    <col min="8434" max="8664" width="9.140625" style="46"/>
    <col min="8665" max="8666" width="14.28515625" style="46" customWidth="1"/>
    <col min="8667" max="8672" width="18.28515625" style="46" customWidth="1"/>
    <col min="8673" max="8673" width="23.85546875" style="46" customWidth="1"/>
    <col min="8674" max="8674" width="18.28515625" style="46" customWidth="1"/>
    <col min="8675" max="8675" width="17.140625" style="46" customWidth="1"/>
    <col min="8676" max="8678" width="15.5703125" style="46" customWidth="1"/>
    <col min="8679" max="8689" width="0" style="46" hidden="1" customWidth="1"/>
    <col min="8690" max="8920" width="9.140625" style="46"/>
    <col min="8921" max="8922" width="14.28515625" style="46" customWidth="1"/>
    <col min="8923" max="8928" width="18.28515625" style="46" customWidth="1"/>
    <col min="8929" max="8929" width="23.85546875" style="46" customWidth="1"/>
    <col min="8930" max="8930" width="18.28515625" style="46" customWidth="1"/>
    <col min="8931" max="8931" width="17.140625" style="46" customWidth="1"/>
    <col min="8932" max="8934" width="15.5703125" style="46" customWidth="1"/>
    <col min="8935" max="8945" width="0" style="46" hidden="1" customWidth="1"/>
    <col min="8946" max="9176" width="9.140625" style="46"/>
    <col min="9177" max="9178" width="14.28515625" style="46" customWidth="1"/>
    <col min="9179" max="9184" width="18.28515625" style="46" customWidth="1"/>
    <col min="9185" max="9185" width="23.85546875" style="46" customWidth="1"/>
    <col min="9186" max="9186" width="18.28515625" style="46" customWidth="1"/>
    <col min="9187" max="9187" width="17.140625" style="46" customWidth="1"/>
    <col min="9188" max="9190" width="15.5703125" style="46" customWidth="1"/>
    <col min="9191" max="9201" width="0" style="46" hidden="1" customWidth="1"/>
    <col min="9202" max="9432" width="9.140625" style="46"/>
    <col min="9433" max="9434" width="14.28515625" style="46" customWidth="1"/>
    <col min="9435" max="9440" width="18.28515625" style="46" customWidth="1"/>
    <col min="9441" max="9441" width="23.85546875" style="46" customWidth="1"/>
    <col min="9442" max="9442" width="18.28515625" style="46" customWidth="1"/>
    <col min="9443" max="9443" width="17.140625" style="46" customWidth="1"/>
    <col min="9444" max="9446" width="15.5703125" style="46" customWidth="1"/>
    <col min="9447" max="9457" width="0" style="46" hidden="1" customWidth="1"/>
    <col min="9458" max="9688" width="9.140625" style="46"/>
    <col min="9689" max="9690" width="14.28515625" style="46" customWidth="1"/>
    <col min="9691" max="9696" width="18.28515625" style="46" customWidth="1"/>
    <col min="9697" max="9697" width="23.85546875" style="46" customWidth="1"/>
    <col min="9698" max="9698" width="18.28515625" style="46" customWidth="1"/>
    <col min="9699" max="9699" width="17.140625" style="46" customWidth="1"/>
    <col min="9700" max="9702" width="15.5703125" style="46" customWidth="1"/>
    <col min="9703" max="9713" width="0" style="46" hidden="1" customWidth="1"/>
    <col min="9714" max="9944" width="9.140625" style="46"/>
    <col min="9945" max="9946" width="14.28515625" style="46" customWidth="1"/>
    <col min="9947" max="9952" width="18.28515625" style="46" customWidth="1"/>
    <col min="9953" max="9953" width="23.85546875" style="46" customWidth="1"/>
    <col min="9954" max="9954" width="18.28515625" style="46" customWidth="1"/>
    <col min="9955" max="9955" width="17.140625" style="46" customWidth="1"/>
    <col min="9956" max="9958" width="15.5703125" style="46" customWidth="1"/>
    <col min="9959" max="9969" width="0" style="46" hidden="1" customWidth="1"/>
    <col min="9970" max="10200" width="9.140625" style="46"/>
    <col min="10201" max="10202" width="14.28515625" style="46" customWidth="1"/>
    <col min="10203" max="10208" width="18.28515625" style="46" customWidth="1"/>
    <col min="10209" max="10209" width="23.85546875" style="46" customWidth="1"/>
    <col min="10210" max="10210" width="18.28515625" style="46" customWidth="1"/>
    <col min="10211" max="10211" width="17.140625" style="46" customWidth="1"/>
    <col min="10212" max="10214" width="15.5703125" style="46" customWidth="1"/>
    <col min="10215" max="10225" width="0" style="46" hidden="1" customWidth="1"/>
    <col min="10226" max="10456" width="9.140625" style="46"/>
    <col min="10457" max="10458" width="14.28515625" style="46" customWidth="1"/>
    <col min="10459" max="10464" width="18.28515625" style="46" customWidth="1"/>
    <col min="10465" max="10465" width="23.85546875" style="46" customWidth="1"/>
    <col min="10466" max="10466" width="18.28515625" style="46" customWidth="1"/>
    <col min="10467" max="10467" width="17.140625" style="46" customWidth="1"/>
    <col min="10468" max="10470" width="15.5703125" style="46" customWidth="1"/>
    <col min="10471" max="10481" width="0" style="46" hidden="1" customWidth="1"/>
    <col min="10482" max="10712" width="9.140625" style="46"/>
    <col min="10713" max="10714" width="14.28515625" style="46" customWidth="1"/>
    <col min="10715" max="10720" width="18.28515625" style="46" customWidth="1"/>
    <col min="10721" max="10721" width="23.85546875" style="46" customWidth="1"/>
    <col min="10722" max="10722" width="18.28515625" style="46" customWidth="1"/>
    <col min="10723" max="10723" width="17.140625" style="46" customWidth="1"/>
    <col min="10724" max="10726" width="15.5703125" style="46" customWidth="1"/>
    <col min="10727" max="10737" width="0" style="46" hidden="1" customWidth="1"/>
    <col min="10738" max="10968" width="9.140625" style="46"/>
    <col min="10969" max="10970" width="14.28515625" style="46" customWidth="1"/>
    <col min="10971" max="10976" width="18.28515625" style="46" customWidth="1"/>
    <col min="10977" max="10977" width="23.85546875" style="46" customWidth="1"/>
    <col min="10978" max="10978" width="18.28515625" style="46" customWidth="1"/>
    <col min="10979" max="10979" width="17.140625" style="46" customWidth="1"/>
    <col min="10980" max="10982" width="15.5703125" style="46" customWidth="1"/>
    <col min="10983" max="10993" width="0" style="46" hidden="1" customWidth="1"/>
    <col min="10994" max="11224" width="9.140625" style="46"/>
    <col min="11225" max="11226" width="14.28515625" style="46" customWidth="1"/>
    <col min="11227" max="11232" width="18.28515625" style="46" customWidth="1"/>
    <col min="11233" max="11233" width="23.85546875" style="46" customWidth="1"/>
    <col min="11234" max="11234" width="18.28515625" style="46" customWidth="1"/>
    <col min="11235" max="11235" width="17.140625" style="46" customWidth="1"/>
    <col min="11236" max="11238" width="15.5703125" style="46" customWidth="1"/>
    <col min="11239" max="11249" width="0" style="46" hidden="1" customWidth="1"/>
    <col min="11250" max="11480" width="9.140625" style="46"/>
    <col min="11481" max="11482" width="14.28515625" style="46" customWidth="1"/>
    <col min="11483" max="11488" width="18.28515625" style="46" customWidth="1"/>
    <col min="11489" max="11489" width="23.85546875" style="46" customWidth="1"/>
    <col min="11490" max="11490" width="18.28515625" style="46" customWidth="1"/>
    <col min="11491" max="11491" width="17.140625" style="46" customWidth="1"/>
    <col min="11492" max="11494" width="15.5703125" style="46" customWidth="1"/>
    <col min="11495" max="11505" width="0" style="46" hidden="1" customWidth="1"/>
    <col min="11506" max="11736" width="9.140625" style="46"/>
    <col min="11737" max="11738" width="14.28515625" style="46" customWidth="1"/>
    <col min="11739" max="11744" width="18.28515625" style="46" customWidth="1"/>
    <col min="11745" max="11745" width="23.85546875" style="46" customWidth="1"/>
    <col min="11746" max="11746" width="18.28515625" style="46" customWidth="1"/>
    <col min="11747" max="11747" width="17.140625" style="46" customWidth="1"/>
    <col min="11748" max="11750" width="15.5703125" style="46" customWidth="1"/>
    <col min="11751" max="11761" width="0" style="46" hidden="1" customWidth="1"/>
    <col min="11762" max="11992" width="9.140625" style="46"/>
    <col min="11993" max="11994" width="14.28515625" style="46" customWidth="1"/>
    <col min="11995" max="12000" width="18.28515625" style="46" customWidth="1"/>
    <col min="12001" max="12001" width="23.85546875" style="46" customWidth="1"/>
    <col min="12002" max="12002" width="18.28515625" style="46" customWidth="1"/>
    <col min="12003" max="12003" width="17.140625" style="46" customWidth="1"/>
    <col min="12004" max="12006" width="15.5703125" style="46" customWidth="1"/>
    <col min="12007" max="12017" width="0" style="46" hidden="1" customWidth="1"/>
    <col min="12018" max="12248" width="9.140625" style="46"/>
    <col min="12249" max="12250" width="14.28515625" style="46" customWidth="1"/>
    <col min="12251" max="12256" width="18.28515625" style="46" customWidth="1"/>
    <col min="12257" max="12257" width="23.85546875" style="46" customWidth="1"/>
    <col min="12258" max="12258" width="18.28515625" style="46" customWidth="1"/>
    <col min="12259" max="12259" width="17.140625" style="46" customWidth="1"/>
    <col min="12260" max="12262" width="15.5703125" style="46" customWidth="1"/>
    <col min="12263" max="12273" width="0" style="46" hidden="1" customWidth="1"/>
    <col min="12274" max="12504" width="9.140625" style="46"/>
    <col min="12505" max="12506" width="14.28515625" style="46" customWidth="1"/>
    <col min="12507" max="12512" width="18.28515625" style="46" customWidth="1"/>
    <col min="12513" max="12513" width="23.85546875" style="46" customWidth="1"/>
    <col min="12514" max="12514" width="18.28515625" style="46" customWidth="1"/>
    <col min="12515" max="12515" width="17.140625" style="46" customWidth="1"/>
    <col min="12516" max="12518" width="15.5703125" style="46" customWidth="1"/>
    <col min="12519" max="12529" width="0" style="46" hidden="1" customWidth="1"/>
    <col min="12530" max="12760" width="9.140625" style="46"/>
    <col min="12761" max="12762" width="14.28515625" style="46" customWidth="1"/>
    <col min="12763" max="12768" width="18.28515625" style="46" customWidth="1"/>
    <col min="12769" max="12769" width="23.85546875" style="46" customWidth="1"/>
    <col min="12770" max="12770" width="18.28515625" style="46" customWidth="1"/>
    <col min="12771" max="12771" width="17.140625" style="46" customWidth="1"/>
    <col min="12772" max="12774" width="15.5703125" style="46" customWidth="1"/>
    <col min="12775" max="12785" width="0" style="46" hidden="1" customWidth="1"/>
    <col min="12786" max="13016" width="9.140625" style="46"/>
    <col min="13017" max="13018" width="14.28515625" style="46" customWidth="1"/>
    <col min="13019" max="13024" width="18.28515625" style="46" customWidth="1"/>
    <col min="13025" max="13025" width="23.85546875" style="46" customWidth="1"/>
    <col min="13026" max="13026" width="18.28515625" style="46" customWidth="1"/>
    <col min="13027" max="13027" width="17.140625" style="46" customWidth="1"/>
    <col min="13028" max="13030" width="15.5703125" style="46" customWidth="1"/>
    <col min="13031" max="13041" width="0" style="46" hidden="1" customWidth="1"/>
    <col min="13042" max="13272" width="9.140625" style="46"/>
    <col min="13273" max="13274" width="14.28515625" style="46" customWidth="1"/>
    <col min="13275" max="13280" width="18.28515625" style="46" customWidth="1"/>
    <col min="13281" max="13281" width="23.85546875" style="46" customWidth="1"/>
    <col min="13282" max="13282" width="18.28515625" style="46" customWidth="1"/>
    <col min="13283" max="13283" width="17.140625" style="46" customWidth="1"/>
    <col min="13284" max="13286" width="15.5703125" style="46" customWidth="1"/>
    <col min="13287" max="13297" width="0" style="46" hidden="1" customWidth="1"/>
    <col min="13298" max="13528" width="9.140625" style="46"/>
    <col min="13529" max="13530" width="14.28515625" style="46" customWidth="1"/>
    <col min="13531" max="13536" width="18.28515625" style="46" customWidth="1"/>
    <col min="13537" max="13537" width="23.85546875" style="46" customWidth="1"/>
    <col min="13538" max="13538" width="18.28515625" style="46" customWidth="1"/>
    <col min="13539" max="13539" width="17.140625" style="46" customWidth="1"/>
    <col min="13540" max="13542" width="15.5703125" style="46" customWidth="1"/>
    <col min="13543" max="13553" width="0" style="46" hidden="1" customWidth="1"/>
    <col min="13554" max="13784" width="9.140625" style="46"/>
    <col min="13785" max="13786" width="14.28515625" style="46" customWidth="1"/>
    <col min="13787" max="13792" width="18.28515625" style="46" customWidth="1"/>
    <col min="13793" max="13793" width="23.85546875" style="46" customWidth="1"/>
    <col min="13794" max="13794" width="18.28515625" style="46" customWidth="1"/>
    <col min="13795" max="13795" width="17.140625" style="46" customWidth="1"/>
    <col min="13796" max="13798" width="15.5703125" style="46" customWidth="1"/>
    <col min="13799" max="13809" width="0" style="46" hidden="1" customWidth="1"/>
    <col min="13810" max="14040" width="9.140625" style="46"/>
    <col min="14041" max="14042" width="14.28515625" style="46" customWidth="1"/>
    <col min="14043" max="14048" width="18.28515625" style="46" customWidth="1"/>
    <col min="14049" max="14049" width="23.85546875" style="46" customWidth="1"/>
    <col min="14050" max="14050" width="18.28515625" style="46" customWidth="1"/>
    <col min="14051" max="14051" width="17.140625" style="46" customWidth="1"/>
    <col min="14052" max="14054" width="15.5703125" style="46" customWidth="1"/>
    <col min="14055" max="14065" width="0" style="46" hidden="1" customWidth="1"/>
    <col min="14066" max="14296" width="9.140625" style="46"/>
    <col min="14297" max="14298" width="14.28515625" style="46" customWidth="1"/>
    <col min="14299" max="14304" width="18.28515625" style="46" customWidth="1"/>
    <col min="14305" max="14305" width="23.85546875" style="46" customWidth="1"/>
    <col min="14306" max="14306" width="18.28515625" style="46" customWidth="1"/>
    <col min="14307" max="14307" width="17.140625" style="46" customWidth="1"/>
    <col min="14308" max="14310" width="15.5703125" style="46" customWidth="1"/>
    <col min="14311" max="14321" width="0" style="46" hidden="1" customWidth="1"/>
    <col min="14322" max="14552" width="9.140625" style="46"/>
    <col min="14553" max="14554" width="14.28515625" style="46" customWidth="1"/>
    <col min="14555" max="14560" width="18.28515625" style="46" customWidth="1"/>
    <col min="14561" max="14561" width="23.85546875" style="46" customWidth="1"/>
    <col min="14562" max="14562" width="18.28515625" style="46" customWidth="1"/>
    <col min="14563" max="14563" width="17.140625" style="46" customWidth="1"/>
    <col min="14564" max="14566" width="15.5703125" style="46" customWidth="1"/>
    <col min="14567" max="14577" width="0" style="46" hidden="1" customWidth="1"/>
    <col min="14578" max="14808" width="9.140625" style="46"/>
    <col min="14809" max="14810" width="14.28515625" style="46" customWidth="1"/>
    <col min="14811" max="14816" width="18.28515625" style="46" customWidth="1"/>
    <col min="14817" max="14817" width="23.85546875" style="46" customWidth="1"/>
    <col min="14818" max="14818" width="18.28515625" style="46" customWidth="1"/>
    <col min="14819" max="14819" width="17.140625" style="46" customWidth="1"/>
    <col min="14820" max="14822" width="15.5703125" style="46" customWidth="1"/>
    <col min="14823" max="14833" width="0" style="46" hidden="1" customWidth="1"/>
    <col min="14834" max="15064" width="9.140625" style="46"/>
    <col min="15065" max="15066" width="14.28515625" style="46" customWidth="1"/>
    <col min="15067" max="15072" width="18.28515625" style="46" customWidth="1"/>
    <col min="15073" max="15073" width="23.85546875" style="46" customWidth="1"/>
    <col min="15074" max="15074" width="18.28515625" style="46" customWidth="1"/>
    <col min="15075" max="15075" width="17.140625" style="46" customWidth="1"/>
    <col min="15076" max="15078" width="15.5703125" style="46" customWidth="1"/>
    <col min="15079" max="15089" width="0" style="46" hidden="1" customWidth="1"/>
    <col min="15090" max="15320" width="9.140625" style="46"/>
    <col min="15321" max="15322" width="14.28515625" style="46" customWidth="1"/>
    <col min="15323" max="15328" width="18.28515625" style="46" customWidth="1"/>
    <col min="15329" max="15329" width="23.85546875" style="46" customWidth="1"/>
    <col min="15330" max="15330" width="18.28515625" style="46" customWidth="1"/>
    <col min="15331" max="15331" width="17.140625" style="46" customWidth="1"/>
    <col min="15332" max="15334" width="15.5703125" style="46" customWidth="1"/>
    <col min="15335" max="15345" width="0" style="46" hidden="1" customWidth="1"/>
    <col min="15346" max="15576" width="9.140625" style="46"/>
    <col min="15577" max="15578" width="14.28515625" style="46" customWidth="1"/>
    <col min="15579" max="15584" width="18.28515625" style="46" customWidth="1"/>
    <col min="15585" max="15585" width="23.85546875" style="46" customWidth="1"/>
    <col min="15586" max="15586" width="18.28515625" style="46" customWidth="1"/>
    <col min="15587" max="15587" width="17.140625" style="46" customWidth="1"/>
    <col min="15588" max="15590" width="15.5703125" style="46" customWidth="1"/>
    <col min="15591" max="15601" width="0" style="46" hidden="1" customWidth="1"/>
    <col min="15602" max="15832" width="9.140625" style="46"/>
    <col min="15833" max="15834" width="14.28515625" style="46" customWidth="1"/>
    <col min="15835" max="15840" width="18.28515625" style="46" customWidth="1"/>
    <col min="15841" max="15841" width="23.85546875" style="46" customWidth="1"/>
    <col min="15842" max="15842" width="18.28515625" style="46" customWidth="1"/>
    <col min="15843" max="15843" width="17.140625" style="46" customWidth="1"/>
    <col min="15844" max="15846" width="15.5703125" style="46" customWidth="1"/>
    <col min="15847" max="15857" width="0" style="46" hidden="1" customWidth="1"/>
    <col min="15858" max="16088" width="9.140625" style="46"/>
    <col min="16089" max="16090" width="14.28515625" style="46" customWidth="1"/>
    <col min="16091" max="16096" width="18.28515625" style="46" customWidth="1"/>
    <col min="16097" max="16097" width="23.85546875" style="46" customWidth="1"/>
    <col min="16098" max="16098" width="18.28515625" style="46" customWidth="1"/>
    <col min="16099" max="16099" width="17.140625" style="46" customWidth="1"/>
    <col min="16100" max="16102" width="15.5703125" style="46" customWidth="1"/>
    <col min="16103" max="16113" width="0" style="46" hidden="1" customWidth="1"/>
    <col min="16114" max="16384" width="9.140625" style="46"/>
  </cols>
  <sheetData>
    <row r="1" spans="1:18" x14ac:dyDescent="0.2">
      <c r="A1" s="45"/>
      <c r="D1" s="45"/>
      <c r="J1" s="45"/>
    </row>
    <row r="3" spans="1:18" x14ac:dyDescent="0.2">
      <c r="B3" s="47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8" x14ac:dyDescent="0.2">
      <c r="B4" s="47" t="s">
        <v>39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8" x14ac:dyDescent="0.2">
      <c r="B5" s="47" t="s">
        <v>98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8" ht="15.75" x14ac:dyDescent="0.25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8" ht="15.75" x14ac:dyDescent="0.25">
      <c r="B7" s="49" t="s">
        <v>11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8" ht="15.75" x14ac:dyDescent="0.25">
      <c r="B8" s="50"/>
      <c r="C8" s="50"/>
      <c r="D8" s="51"/>
      <c r="E8" s="51"/>
      <c r="F8" s="51"/>
      <c r="G8" s="51"/>
      <c r="H8" s="52"/>
      <c r="I8" s="52"/>
      <c r="J8"/>
      <c r="K8"/>
      <c r="L8"/>
      <c r="M8"/>
      <c r="N8"/>
      <c r="O8"/>
    </row>
    <row r="9" spans="1:18" ht="15.75" x14ac:dyDescent="0.25">
      <c r="B9" s="50"/>
      <c r="C9" s="50"/>
      <c r="D9" s="51"/>
      <c r="E9" s="51"/>
      <c r="F9" s="51"/>
      <c r="G9" s="51"/>
      <c r="H9" s="53"/>
      <c r="I9" s="53"/>
      <c r="J9"/>
      <c r="K9"/>
      <c r="L9"/>
      <c r="M9"/>
      <c r="N9"/>
      <c r="O9"/>
    </row>
    <row r="10" spans="1:18" ht="15.75" x14ac:dyDescent="0.25">
      <c r="B10" s="54">
        <f>IF(D10&lt;&gt;"",COUNTA($D10:D$10),"")</f>
        <v>1</v>
      </c>
      <c r="C10" s="54"/>
      <c r="D10" s="50" t="s">
        <v>40</v>
      </c>
      <c r="E10" s="50"/>
      <c r="F10" s="55" t="s">
        <v>99</v>
      </c>
      <c r="G10" s="56"/>
      <c r="H10" s="55"/>
      <c r="I10" s="53"/>
      <c r="J10" s="56" t="s">
        <v>100</v>
      </c>
      <c r="K10" s="57"/>
      <c r="L10" s="57"/>
      <c r="M10"/>
      <c r="N10" s="57" t="s">
        <v>41</v>
      </c>
      <c r="O10" s="57"/>
    </row>
    <row r="11" spans="1:18" ht="15.75" x14ac:dyDescent="0.25">
      <c r="B11" s="54">
        <f>IF(D11&lt;&gt;"",COUNTA($D$10:D11),"")</f>
        <v>2</v>
      </c>
      <c r="C11" s="54"/>
      <c r="D11" s="58" t="s">
        <v>42</v>
      </c>
      <c r="E11" s="58"/>
      <c r="F11" s="59" t="s">
        <v>43</v>
      </c>
      <c r="G11" s="58" t="s">
        <v>44</v>
      </c>
      <c r="H11" s="59" t="s">
        <v>45</v>
      </c>
      <c r="I11" s="53"/>
      <c r="J11" s="58" t="s">
        <v>43</v>
      </c>
      <c r="K11" s="58" t="s">
        <v>44</v>
      </c>
      <c r="L11" s="58" t="s">
        <v>45</v>
      </c>
      <c r="M11"/>
      <c r="N11" s="58" t="s">
        <v>46</v>
      </c>
      <c r="O11" s="58" t="s">
        <v>10</v>
      </c>
    </row>
    <row r="12" spans="1:18" x14ac:dyDescent="0.2">
      <c r="B12" s="54">
        <f>IF(D12&lt;&gt;"",COUNTA($D$10:D12),"")</f>
        <v>3</v>
      </c>
      <c r="C12" s="54"/>
      <c r="D12" s="60">
        <v>100</v>
      </c>
      <c r="E12" s="60"/>
      <c r="F12" s="61">
        <f t="shared" ref="F12:F25" si="0">ROUND(SUM($G$31:$G$57)*D12,2)+G$30</f>
        <v>30.08</v>
      </c>
      <c r="G12" s="61">
        <f t="shared" ref="G12:G25" si="1">ROUND($G$58*D12,2)</f>
        <v>16.579999999999998</v>
      </c>
      <c r="H12" s="61">
        <f t="shared" ref="H12:H25" si="2">SUM(F12:G12)</f>
        <v>46.66</v>
      </c>
      <c r="I12" s="61"/>
      <c r="J12" s="61">
        <f t="shared" ref="J12:J25" si="3">ROUND(SUM($H$31:$H$57)*D12,2)+H$30</f>
        <v>30.8</v>
      </c>
      <c r="K12" s="61">
        <f t="shared" ref="K12:K25" si="4">ROUND($H$58*D12,2)</f>
        <v>16.579999999999998</v>
      </c>
      <c r="L12" s="61">
        <f t="shared" ref="L12:L25" si="5">SUM(J12:K12)</f>
        <v>47.379999999999995</v>
      </c>
      <c r="M12" s="61"/>
      <c r="N12" s="61">
        <f t="shared" ref="N12:N25" si="6">+L12-H12</f>
        <v>0.71999999999999886</v>
      </c>
      <c r="O12" s="62">
        <f t="shared" ref="O12:O25" si="7">+N12/H12</f>
        <v>1.5430775825117852E-2</v>
      </c>
      <c r="R12" s="63"/>
    </row>
    <row r="13" spans="1:18" x14ac:dyDescent="0.2">
      <c r="B13" s="54">
        <f>IF(D13&lt;&gt;"",COUNTA($D$10:D13),"")</f>
        <v>4</v>
      </c>
      <c r="C13" s="54"/>
      <c r="D13" s="60">
        <v>200</v>
      </c>
      <c r="E13" s="60"/>
      <c r="F13" s="61">
        <f t="shared" si="0"/>
        <v>50.16</v>
      </c>
      <c r="G13" s="61">
        <f t="shared" si="1"/>
        <v>33.159999999999997</v>
      </c>
      <c r="H13" s="61">
        <f t="shared" si="2"/>
        <v>83.32</v>
      </c>
      <c r="I13" s="61"/>
      <c r="J13" s="61">
        <f t="shared" si="3"/>
        <v>51.59</v>
      </c>
      <c r="K13" s="61">
        <f t="shared" si="4"/>
        <v>33.159999999999997</v>
      </c>
      <c r="L13" s="61">
        <f t="shared" si="5"/>
        <v>84.75</v>
      </c>
      <c r="M13" s="61"/>
      <c r="N13" s="61">
        <f t="shared" si="6"/>
        <v>1.4300000000000068</v>
      </c>
      <c r="O13" s="62">
        <f t="shared" si="7"/>
        <v>1.7162746039366381E-2</v>
      </c>
      <c r="R13" s="63"/>
    </row>
    <row r="14" spans="1:18" x14ac:dyDescent="0.2">
      <c r="B14" s="54">
        <f>IF(D14&lt;&gt;"",COUNTA($D$10:D14),"")</f>
        <v>5</v>
      </c>
      <c r="C14" s="54"/>
      <c r="D14" s="60">
        <v>300</v>
      </c>
      <c r="E14" s="60"/>
      <c r="F14" s="61">
        <f t="shared" si="0"/>
        <v>70.240000000000009</v>
      </c>
      <c r="G14" s="61">
        <f t="shared" si="1"/>
        <v>49.74</v>
      </c>
      <c r="H14" s="61">
        <f t="shared" si="2"/>
        <v>119.98000000000002</v>
      </c>
      <c r="I14" s="61"/>
      <c r="J14" s="61">
        <f t="shared" si="3"/>
        <v>72.39</v>
      </c>
      <c r="K14" s="61">
        <f t="shared" si="4"/>
        <v>49.74</v>
      </c>
      <c r="L14" s="61">
        <f t="shared" si="5"/>
        <v>122.13</v>
      </c>
      <c r="M14" s="61"/>
      <c r="N14" s="61">
        <f t="shared" si="6"/>
        <v>2.1499999999999773</v>
      </c>
      <c r="O14" s="62">
        <f t="shared" si="7"/>
        <v>1.7919653275545733E-2</v>
      </c>
      <c r="R14" s="63"/>
    </row>
    <row r="15" spans="1:18" x14ac:dyDescent="0.2">
      <c r="B15" s="54">
        <f>IF(D15&lt;&gt;"",COUNTA($D$10:D15),"")</f>
        <v>6</v>
      </c>
      <c r="C15" s="54"/>
      <c r="D15" s="60">
        <v>400</v>
      </c>
      <c r="E15" s="60"/>
      <c r="F15" s="61">
        <f t="shared" si="0"/>
        <v>90.32</v>
      </c>
      <c r="G15" s="61">
        <f t="shared" si="1"/>
        <v>66.319999999999993</v>
      </c>
      <c r="H15" s="61">
        <f t="shared" si="2"/>
        <v>156.63999999999999</v>
      </c>
      <c r="I15" s="61"/>
      <c r="J15" s="61">
        <f t="shared" si="3"/>
        <v>93.19</v>
      </c>
      <c r="K15" s="61">
        <f t="shared" si="4"/>
        <v>66.319999999999993</v>
      </c>
      <c r="L15" s="61">
        <f t="shared" si="5"/>
        <v>159.51</v>
      </c>
      <c r="M15" s="61"/>
      <c r="N15" s="61">
        <f t="shared" si="6"/>
        <v>2.8700000000000045</v>
      </c>
      <c r="O15" s="62">
        <f t="shared" si="7"/>
        <v>1.8322267620020458E-2</v>
      </c>
      <c r="R15" s="63"/>
    </row>
    <row r="16" spans="1:18" x14ac:dyDescent="0.2">
      <c r="B16" s="54">
        <f>IF(D16&lt;&gt;"",COUNTA($D$10:D16),"")</f>
        <v>7</v>
      </c>
      <c r="C16" s="54"/>
      <c r="D16" s="60">
        <v>500</v>
      </c>
      <c r="E16" s="60"/>
      <c r="F16" s="61">
        <f t="shared" si="0"/>
        <v>110.41</v>
      </c>
      <c r="G16" s="61">
        <f t="shared" si="1"/>
        <v>82.9</v>
      </c>
      <c r="H16" s="61">
        <f t="shared" si="2"/>
        <v>193.31</v>
      </c>
      <c r="I16" s="61"/>
      <c r="J16" s="61">
        <f t="shared" si="3"/>
        <v>113.99</v>
      </c>
      <c r="K16" s="61">
        <f t="shared" si="4"/>
        <v>82.9</v>
      </c>
      <c r="L16" s="61">
        <f t="shared" si="5"/>
        <v>196.89</v>
      </c>
      <c r="M16" s="61"/>
      <c r="N16" s="61">
        <f t="shared" si="6"/>
        <v>3.5799999999999841</v>
      </c>
      <c r="O16" s="62">
        <f t="shared" si="7"/>
        <v>1.8519476488541638E-2</v>
      </c>
      <c r="R16" s="63"/>
    </row>
    <row r="17" spans="2:18" x14ac:dyDescent="0.2">
      <c r="B17" s="54">
        <f>IF(D17&lt;&gt;"",COUNTA($D$10:D17),"")</f>
        <v>8</v>
      </c>
      <c r="C17" s="54"/>
      <c r="D17" s="60">
        <v>600</v>
      </c>
      <c r="E17" s="60"/>
      <c r="F17" s="61">
        <f t="shared" si="0"/>
        <v>130.49</v>
      </c>
      <c r="G17" s="61">
        <f t="shared" si="1"/>
        <v>99.48</v>
      </c>
      <c r="H17" s="61">
        <f t="shared" si="2"/>
        <v>229.97000000000003</v>
      </c>
      <c r="I17" s="61"/>
      <c r="J17" s="61">
        <f t="shared" si="3"/>
        <v>134.78</v>
      </c>
      <c r="K17" s="61">
        <f t="shared" si="4"/>
        <v>99.48</v>
      </c>
      <c r="L17" s="61">
        <f t="shared" si="5"/>
        <v>234.26</v>
      </c>
      <c r="M17" s="61"/>
      <c r="N17" s="61">
        <f t="shared" si="6"/>
        <v>4.2899999999999636</v>
      </c>
      <c r="O17" s="62">
        <f t="shared" si="7"/>
        <v>1.8654607122668015E-2</v>
      </c>
      <c r="R17" s="63"/>
    </row>
    <row r="18" spans="2:18" x14ac:dyDescent="0.2">
      <c r="B18" s="54">
        <f>IF(D18&lt;&gt;"",COUNTA($D$10:D18),"")</f>
        <v>9</v>
      </c>
      <c r="C18" s="54"/>
      <c r="D18" s="60">
        <v>700</v>
      </c>
      <c r="E18" s="60"/>
      <c r="F18" s="61">
        <f t="shared" si="0"/>
        <v>150.57</v>
      </c>
      <c r="G18" s="61">
        <f t="shared" si="1"/>
        <v>116.06</v>
      </c>
      <c r="H18" s="61">
        <f t="shared" si="2"/>
        <v>266.63</v>
      </c>
      <c r="I18" s="61"/>
      <c r="J18" s="61">
        <f t="shared" si="3"/>
        <v>155.58000000000001</v>
      </c>
      <c r="K18" s="61">
        <f t="shared" si="4"/>
        <v>116.06</v>
      </c>
      <c r="L18" s="61">
        <f t="shared" si="5"/>
        <v>271.64</v>
      </c>
      <c r="M18" s="61"/>
      <c r="N18" s="61">
        <f t="shared" si="6"/>
        <v>5.0099999999999909</v>
      </c>
      <c r="O18" s="62">
        <f t="shared" si="7"/>
        <v>1.8790083636499984E-2</v>
      </c>
      <c r="R18" s="63"/>
    </row>
    <row r="19" spans="2:18" x14ac:dyDescent="0.2">
      <c r="B19" s="54">
        <f>IF(D19&lt;&gt;"",COUNTA($D$10:D19),"")</f>
        <v>10</v>
      </c>
      <c r="C19" s="54"/>
      <c r="D19" s="60">
        <v>800</v>
      </c>
      <c r="E19" s="60"/>
      <c r="F19" s="61">
        <f t="shared" si="0"/>
        <v>170.65</v>
      </c>
      <c r="G19" s="61">
        <f t="shared" si="1"/>
        <v>132.63999999999999</v>
      </c>
      <c r="H19" s="61">
        <f t="shared" si="2"/>
        <v>303.28999999999996</v>
      </c>
      <c r="I19" s="61"/>
      <c r="J19" s="61">
        <f t="shared" si="3"/>
        <v>176.38</v>
      </c>
      <c r="K19" s="61">
        <f t="shared" si="4"/>
        <v>132.63999999999999</v>
      </c>
      <c r="L19" s="61">
        <f t="shared" si="5"/>
        <v>309.02</v>
      </c>
      <c r="M19" s="61"/>
      <c r="N19" s="61">
        <f t="shared" si="6"/>
        <v>5.7300000000000182</v>
      </c>
      <c r="O19" s="62">
        <f t="shared" si="7"/>
        <v>1.8892808862804637E-2</v>
      </c>
      <c r="R19" s="63"/>
    </row>
    <row r="20" spans="2:18" x14ac:dyDescent="0.2">
      <c r="B20" s="54">
        <f>IF(D20&lt;&gt;"",COUNTA($D$10:D20),"")</f>
        <v>11</v>
      </c>
      <c r="C20" s="54"/>
      <c r="D20" s="60">
        <v>900</v>
      </c>
      <c r="E20" s="60"/>
      <c r="F20" s="61">
        <f t="shared" si="0"/>
        <v>190.73</v>
      </c>
      <c r="G20" s="61">
        <f t="shared" si="1"/>
        <v>149.22</v>
      </c>
      <c r="H20" s="61">
        <f t="shared" si="2"/>
        <v>339.95</v>
      </c>
      <c r="I20" s="61"/>
      <c r="J20" s="61">
        <f t="shared" si="3"/>
        <v>197.17</v>
      </c>
      <c r="K20" s="61">
        <f t="shared" si="4"/>
        <v>149.22</v>
      </c>
      <c r="L20" s="61">
        <f t="shared" si="5"/>
        <v>346.39</v>
      </c>
      <c r="M20" s="61"/>
      <c r="N20" s="61">
        <f t="shared" si="6"/>
        <v>6.4399999999999977</v>
      </c>
      <c r="O20" s="62">
        <f t="shared" si="7"/>
        <v>1.8943962347404024E-2</v>
      </c>
      <c r="R20" s="63"/>
    </row>
    <row r="21" spans="2:18" x14ac:dyDescent="0.2">
      <c r="B21" s="54">
        <f>IF(D21&lt;&gt;"",COUNTA($D$10:D21),"")</f>
        <v>12</v>
      </c>
      <c r="C21" s="54"/>
      <c r="D21" s="60">
        <v>1000</v>
      </c>
      <c r="E21" s="60"/>
      <c r="F21" s="61">
        <f t="shared" si="0"/>
        <v>210.81</v>
      </c>
      <c r="G21" s="61">
        <f t="shared" si="1"/>
        <v>165.8</v>
      </c>
      <c r="H21" s="61">
        <f t="shared" si="2"/>
        <v>376.61</v>
      </c>
      <c r="I21" s="61"/>
      <c r="J21" s="61">
        <f t="shared" si="3"/>
        <v>217.97</v>
      </c>
      <c r="K21" s="61">
        <f t="shared" si="4"/>
        <v>165.8</v>
      </c>
      <c r="L21" s="61">
        <f t="shared" si="5"/>
        <v>383.77</v>
      </c>
      <c r="M21" s="61"/>
      <c r="N21" s="61">
        <f t="shared" si="6"/>
        <v>7.1599999999999682</v>
      </c>
      <c r="O21" s="62">
        <f t="shared" si="7"/>
        <v>1.9011709726241915E-2</v>
      </c>
      <c r="R21" s="63"/>
    </row>
    <row r="22" spans="2:18" x14ac:dyDescent="0.2">
      <c r="B22" s="54">
        <f>IF(D22&lt;&gt;"",COUNTA($D$10:D22),"")</f>
        <v>13</v>
      </c>
      <c r="C22" s="54"/>
      <c r="D22" s="60">
        <v>1250</v>
      </c>
      <c r="E22" s="60"/>
      <c r="F22" s="61">
        <f t="shared" si="0"/>
        <v>261.01</v>
      </c>
      <c r="G22" s="61">
        <f t="shared" si="1"/>
        <v>207.25</v>
      </c>
      <c r="H22" s="61">
        <f t="shared" si="2"/>
        <v>468.26</v>
      </c>
      <c r="I22" s="61"/>
      <c r="J22" s="61">
        <f t="shared" si="3"/>
        <v>269.95999999999998</v>
      </c>
      <c r="K22" s="61">
        <f t="shared" si="4"/>
        <v>207.25</v>
      </c>
      <c r="L22" s="61">
        <f t="shared" si="5"/>
        <v>477.21</v>
      </c>
      <c r="M22" s="61"/>
      <c r="N22" s="61">
        <f t="shared" si="6"/>
        <v>8.9499999999999886</v>
      </c>
      <c r="O22" s="62">
        <f t="shared" si="7"/>
        <v>1.9113313116644576E-2</v>
      </c>
      <c r="R22" s="63"/>
    </row>
    <row r="23" spans="2:18" x14ac:dyDescent="0.2">
      <c r="B23" s="54">
        <f>IF(D23&lt;&gt;"",COUNTA($D$10:D23),"")</f>
        <v>14</v>
      </c>
      <c r="C23" s="54"/>
      <c r="D23" s="60">
        <v>1500</v>
      </c>
      <c r="E23" s="60"/>
      <c r="F23" s="61">
        <f t="shared" si="0"/>
        <v>311.22000000000003</v>
      </c>
      <c r="G23" s="61">
        <f t="shared" si="1"/>
        <v>248.7</v>
      </c>
      <c r="H23" s="61">
        <f t="shared" si="2"/>
        <v>559.92000000000007</v>
      </c>
      <c r="I23" s="61"/>
      <c r="J23" s="61">
        <f t="shared" si="3"/>
        <v>321.95999999999998</v>
      </c>
      <c r="K23" s="61">
        <f t="shared" si="4"/>
        <v>248.7</v>
      </c>
      <c r="L23" s="61">
        <f t="shared" si="5"/>
        <v>570.66</v>
      </c>
      <c r="M23" s="61"/>
      <c r="N23" s="61">
        <f t="shared" si="6"/>
        <v>10.739999999999895</v>
      </c>
      <c r="O23" s="62">
        <f t="shared" si="7"/>
        <v>1.9181311615944947E-2</v>
      </c>
      <c r="R23" s="63"/>
    </row>
    <row r="24" spans="2:18" x14ac:dyDescent="0.2">
      <c r="B24" s="54">
        <f>IF(D24&lt;&gt;"",COUNTA($D$10:D24),"")</f>
        <v>15</v>
      </c>
      <c r="C24" s="54"/>
      <c r="D24" s="60">
        <v>2000</v>
      </c>
      <c r="E24" s="60"/>
      <c r="F24" s="61">
        <f t="shared" si="0"/>
        <v>411.62</v>
      </c>
      <c r="G24" s="61">
        <f t="shared" si="1"/>
        <v>331.6</v>
      </c>
      <c r="H24" s="61">
        <f t="shared" si="2"/>
        <v>743.22</v>
      </c>
      <c r="I24" s="61"/>
      <c r="J24" s="61">
        <f t="shared" si="3"/>
        <v>425.94</v>
      </c>
      <c r="K24" s="61">
        <f t="shared" si="4"/>
        <v>331.6</v>
      </c>
      <c r="L24" s="61">
        <f t="shared" si="5"/>
        <v>757.54</v>
      </c>
      <c r="M24" s="61"/>
      <c r="N24" s="61">
        <f>+L24-H24</f>
        <v>14.319999999999936</v>
      </c>
      <c r="O24" s="62">
        <f t="shared" si="7"/>
        <v>1.92675116385457E-2</v>
      </c>
      <c r="R24" s="63"/>
    </row>
    <row r="25" spans="2:18" x14ac:dyDescent="0.2">
      <c r="B25" s="54">
        <f>IF(D25&lt;&gt;"",COUNTA($D$10:D25),"")</f>
        <v>16</v>
      </c>
      <c r="C25" s="54" t="s">
        <v>47</v>
      </c>
      <c r="D25" s="60">
        <v>530</v>
      </c>
      <c r="E25" s="60"/>
      <c r="F25" s="61">
        <f t="shared" si="0"/>
        <v>116.43</v>
      </c>
      <c r="G25" s="61">
        <f t="shared" si="1"/>
        <v>87.87</v>
      </c>
      <c r="H25" s="61">
        <f t="shared" si="2"/>
        <v>204.3</v>
      </c>
      <c r="I25" s="61"/>
      <c r="J25" s="61">
        <f t="shared" si="3"/>
        <v>120.22</v>
      </c>
      <c r="K25" s="61">
        <f t="shared" si="4"/>
        <v>87.87</v>
      </c>
      <c r="L25" s="61">
        <f t="shared" si="5"/>
        <v>208.09</v>
      </c>
      <c r="M25" s="61"/>
      <c r="N25" s="61">
        <f t="shared" si="6"/>
        <v>3.789999999999992</v>
      </c>
      <c r="O25" s="62">
        <f t="shared" si="7"/>
        <v>1.8551150269211902E-2</v>
      </c>
      <c r="R25" s="63"/>
    </row>
    <row r="26" spans="2:18" x14ac:dyDescent="0.2">
      <c r="B26" s="54" t="str">
        <f>IF(D26&lt;&gt;"",COUNTA($C$11:D26),"")</f>
        <v/>
      </c>
      <c r="C26" s="54"/>
      <c r="D26" s="64"/>
      <c r="E26" s="61"/>
      <c r="F26" s="65"/>
      <c r="G26" s="61"/>
      <c r="H26" s="65"/>
      <c r="I26" s="61"/>
      <c r="J26" s="61"/>
      <c r="K26" s="61"/>
      <c r="L26" s="66"/>
      <c r="M26" s="61"/>
      <c r="N26" s="62"/>
    </row>
    <row r="27" spans="2:18" ht="15.75" x14ac:dyDescent="0.25">
      <c r="B27" s="54" t="str">
        <f>IF(D27&lt;&gt;"",COUNTA($C$11:D27),"")</f>
        <v/>
      </c>
      <c r="C27" s="54"/>
      <c r="D27" s="67"/>
      <c r="E27" s="68"/>
      <c r="F27" s="69"/>
      <c r="G27" s="68"/>
      <c r="H27" s="69"/>
      <c r="I27" s="68"/>
      <c r="J27" s="68"/>
      <c r="K27" s="68"/>
      <c r="L27" s="70"/>
      <c r="M27" s="70"/>
      <c r="N27"/>
    </row>
    <row r="28" spans="2:18" ht="15.75" x14ac:dyDescent="0.25">
      <c r="B28" s="54">
        <f>IF(D28&lt;&gt;"",COUNTA($C$11:D28),"")</f>
        <v>17</v>
      </c>
      <c r="C28" s="54"/>
      <c r="D28" s="71" t="s">
        <v>27</v>
      </c>
      <c r="E28" s="66"/>
      <c r="F28" s="72"/>
      <c r="G28" s="73" t="str">
        <f>F10</f>
        <v>2026 In Effect</v>
      </c>
      <c r="H28" s="74" t="str">
        <f>J10</f>
        <v>2027 Proposed</v>
      </c>
      <c r="J28" s="75"/>
      <c r="K28" s="66"/>
      <c r="L28" s="76"/>
      <c r="M28" s="76"/>
      <c r="N28" s="77"/>
    </row>
    <row r="29" spans="2:18" ht="15.75" x14ac:dyDescent="0.25">
      <c r="B29" s="54">
        <f>IF(D29&lt;&gt;"",COUNTA($C$11:D29),"")</f>
        <v>18</v>
      </c>
      <c r="C29" s="54"/>
      <c r="D29" s="71" t="s">
        <v>27</v>
      </c>
      <c r="E29" s="66"/>
      <c r="F29" s="72"/>
      <c r="G29" s="78" t="s">
        <v>48</v>
      </c>
      <c r="H29" s="79" t="s">
        <v>48</v>
      </c>
      <c r="J29" s="78" t="s">
        <v>46</v>
      </c>
      <c r="K29" s="66"/>
      <c r="L29" s="80"/>
      <c r="M29" s="80"/>
      <c r="N29" s="80"/>
    </row>
    <row r="30" spans="2:18" ht="15.75" x14ac:dyDescent="0.25">
      <c r="B30" s="54">
        <f>IF(D30&lt;&gt;"",COUNTA($C$11:D30),"")</f>
        <v>19</v>
      </c>
      <c r="C30" s="54"/>
      <c r="D30" s="51" t="s">
        <v>49</v>
      </c>
      <c r="E30" s="66"/>
      <c r="F30" s="72"/>
      <c r="G30" s="81">
        <v>10</v>
      </c>
      <c r="H30" s="81">
        <v>10</v>
      </c>
      <c r="J30" s="81">
        <f t="shared" ref="J30:J58" si="8">+H30-G30</f>
        <v>0</v>
      </c>
      <c r="K30" s="66"/>
      <c r="L30" s="82"/>
      <c r="M30" s="83"/>
      <c r="N30" s="83"/>
      <c r="Q30" s="63"/>
    </row>
    <row r="31" spans="2:18" ht="15.75" x14ac:dyDescent="0.25">
      <c r="B31" s="54">
        <f>IF(D31&lt;&gt;"",COUNTA($C$11:D31),"")</f>
        <v>20</v>
      </c>
      <c r="C31" s="54"/>
      <c r="D31" s="84" t="s">
        <v>50</v>
      </c>
      <c r="E31" s="66"/>
      <c r="F31" s="72"/>
      <c r="G31" s="85">
        <v>6.6030000000000005E-2</v>
      </c>
      <c r="H31" s="85">
        <v>6.6030000000000005E-2</v>
      </c>
      <c r="J31" s="85">
        <f t="shared" si="8"/>
        <v>0</v>
      </c>
      <c r="K31" s="66"/>
      <c r="L31" s="82"/>
      <c r="M31" s="86"/>
      <c r="N31" s="83"/>
      <c r="Q31" s="63"/>
      <c r="R31" s="87"/>
    </row>
    <row r="32" spans="2:18" ht="15.75" x14ac:dyDescent="0.25">
      <c r="B32" s="54">
        <f>IF(D32&lt;&gt;"",COUNTA($C$11:D32),"")</f>
        <v>21</v>
      </c>
      <c r="C32" s="54"/>
      <c r="D32" s="88" t="s">
        <v>51</v>
      </c>
      <c r="E32" s="66"/>
      <c r="F32" s="72"/>
      <c r="G32" s="85">
        <v>-1.0000000000000001E-5</v>
      </c>
      <c r="H32" s="85">
        <v>-1.0000000000000001E-5</v>
      </c>
      <c r="J32" s="85">
        <f t="shared" si="8"/>
        <v>0</v>
      </c>
      <c r="K32" s="66"/>
      <c r="L32" s="82"/>
      <c r="M32" s="86"/>
      <c r="N32" s="83"/>
      <c r="Q32" s="63"/>
      <c r="R32" s="87"/>
    </row>
    <row r="33" spans="2:17" ht="15.75" x14ac:dyDescent="0.25">
      <c r="B33" s="54">
        <f>IF(D33&lt;&gt;"",COUNTA($C$11:D33),"")</f>
        <v>22</v>
      </c>
      <c r="C33" s="54"/>
      <c r="D33" s="88" t="s">
        <v>52</v>
      </c>
      <c r="E33" s="66"/>
      <c r="F33" s="72"/>
      <c r="G33" s="85">
        <v>5.3899999999999998E-3</v>
      </c>
      <c r="H33" s="85">
        <v>5.3899999999999998E-3</v>
      </c>
      <c r="J33" s="85">
        <f t="shared" si="8"/>
        <v>0</v>
      </c>
      <c r="K33" s="66"/>
      <c r="L33" s="82"/>
      <c r="M33" s="86"/>
      <c r="N33" s="83"/>
      <c r="Q33" s="63"/>
    </row>
    <row r="34" spans="2:17" ht="15.75" x14ac:dyDescent="0.25">
      <c r="B34" s="54">
        <f>IF(D34&lt;&gt;"",COUNTA($C$11:D34),"")</f>
        <v>23</v>
      </c>
      <c r="C34" s="54"/>
      <c r="D34" s="88" t="s">
        <v>53</v>
      </c>
      <c r="E34" s="66"/>
      <c r="F34" s="72"/>
      <c r="G34" s="85">
        <v>5.8300000000000001E-3</v>
      </c>
      <c r="H34" s="85">
        <v>5.8300000000000001E-3</v>
      </c>
      <c r="J34" s="85">
        <f t="shared" si="8"/>
        <v>0</v>
      </c>
      <c r="K34" s="66"/>
      <c r="L34" s="82"/>
      <c r="M34" s="86"/>
      <c r="N34" s="83"/>
      <c r="Q34" s="63"/>
    </row>
    <row r="35" spans="2:17" ht="15.75" x14ac:dyDescent="0.25">
      <c r="B35" s="54">
        <f>IF(D35&lt;&gt;"",COUNTA($C$11:D35),"")</f>
        <v>24</v>
      </c>
      <c r="C35" s="54"/>
      <c r="D35" s="88" t="s">
        <v>54</v>
      </c>
      <c r="E35" s="66"/>
      <c r="F35" s="72"/>
      <c r="G35" s="85">
        <v>1.0330000000000001E-2</v>
      </c>
      <c r="H35" s="85">
        <v>1.0330000000000001E-2</v>
      </c>
      <c r="J35" s="85">
        <f t="shared" si="8"/>
        <v>0</v>
      </c>
      <c r="K35" s="66"/>
      <c r="L35" s="82"/>
      <c r="M35" s="86"/>
      <c r="N35" s="83"/>
      <c r="Q35" s="63"/>
    </row>
    <row r="36" spans="2:17" ht="15.75" x14ac:dyDescent="0.25">
      <c r="B36" s="54">
        <f>IF(D36&lt;&gt;"",COUNTA($C$11:D36),"")</f>
        <v>25</v>
      </c>
      <c r="C36" s="54"/>
      <c r="D36" s="88" t="s">
        <v>55</v>
      </c>
      <c r="E36" s="66"/>
      <c r="F36" s="72"/>
      <c r="G36" s="85">
        <v>1.3799999999999999E-3</v>
      </c>
      <c r="H36" s="85">
        <v>1.3799999999999999E-3</v>
      </c>
      <c r="J36" s="85">
        <f t="shared" si="8"/>
        <v>0</v>
      </c>
      <c r="K36" s="66"/>
      <c r="L36" s="82"/>
      <c r="M36" s="86"/>
      <c r="N36" s="83"/>
      <c r="Q36" s="63"/>
    </row>
    <row r="37" spans="2:17" ht="15.75" x14ac:dyDescent="0.25">
      <c r="B37" s="54">
        <f>IF(D37&lt;&gt;"",COUNTA($C$11:D37),"")</f>
        <v>26</v>
      </c>
      <c r="C37" s="54"/>
      <c r="D37" s="88" t="s">
        <v>56</v>
      </c>
      <c r="E37" s="66"/>
      <c r="F37" s="66"/>
      <c r="G37" s="85">
        <v>6.2500000000000003E-3</v>
      </c>
      <c r="H37" s="85">
        <v>6.2500000000000003E-3</v>
      </c>
      <c r="J37" s="85">
        <f t="shared" si="8"/>
        <v>0</v>
      </c>
      <c r="K37" s="66"/>
      <c r="L37" s="82"/>
      <c r="M37" s="86"/>
      <c r="N37" s="83"/>
      <c r="Q37" s="63"/>
    </row>
    <row r="38" spans="2:17" ht="15.75" x14ac:dyDescent="0.25">
      <c r="B38" s="54">
        <f>IF(D38&lt;&gt;"",COUNTA($C$11:D38),"")</f>
        <v>27</v>
      </c>
      <c r="C38" s="54"/>
      <c r="D38" s="88" t="s">
        <v>57</v>
      </c>
      <c r="E38" s="66"/>
      <c r="F38" s="66"/>
      <c r="G38" s="85">
        <v>-3.6999999999999999E-4</v>
      </c>
      <c r="H38" s="85">
        <v>-3.6999999999999999E-4</v>
      </c>
      <c r="J38" s="85">
        <f t="shared" si="8"/>
        <v>0</v>
      </c>
      <c r="K38" s="66"/>
      <c r="L38" s="82"/>
      <c r="M38" s="86"/>
      <c r="N38" s="83"/>
      <c r="Q38" s="63"/>
    </row>
    <row r="39" spans="2:17" ht="15.75" x14ac:dyDescent="0.25">
      <c r="B39" s="54">
        <f>IF(D39&lt;&gt;"",COUNTA($C$11:D39),"")</f>
        <v>28</v>
      </c>
      <c r="C39" s="54"/>
      <c r="D39" s="88" t="s">
        <v>58</v>
      </c>
      <c r="E39" s="66"/>
      <c r="F39" s="66"/>
      <c r="G39" s="85">
        <v>3.0000000000000001E-5</v>
      </c>
      <c r="H39" s="85">
        <v>3.0000000000000001E-5</v>
      </c>
      <c r="J39" s="85">
        <f t="shared" si="8"/>
        <v>0</v>
      </c>
      <c r="K39" s="66"/>
      <c r="L39" s="82"/>
      <c r="M39" s="86"/>
      <c r="N39" s="83"/>
      <c r="Q39" s="63"/>
    </row>
    <row r="40" spans="2:17" ht="15.75" x14ac:dyDescent="0.25">
      <c r="B40" s="54">
        <f>IF(D40&lt;&gt;"",COUNTA($C$11:D40),"")</f>
        <v>29</v>
      </c>
      <c r="C40" s="54"/>
      <c r="D40" s="88" t="s">
        <v>59</v>
      </c>
      <c r="E40" s="66"/>
      <c r="F40" s="66"/>
      <c r="G40" s="85">
        <v>9.5999999999999992E-3</v>
      </c>
      <c r="H40" s="85">
        <v>9.5999999999999992E-3</v>
      </c>
      <c r="J40" s="85">
        <f t="shared" si="8"/>
        <v>0</v>
      </c>
      <c r="K40" s="66"/>
      <c r="L40" s="82"/>
      <c r="M40" s="86"/>
      <c r="N40" s="83"/>
      <c r="Q40" s="63"/>
    </row>
    <row r="41" spans="2:17" ht="15.75" x14ac:dyDescent="0.25">
      <c r="B41" s="54">
        <f>IF(D41&lt;&gt;"",COUNTA($C$11:D41),"")</f>
        <v>30</v>
      </c>
      <c r="C41" s="54"/>
      <c r="D41" s="88" t="s">
        <v>60</v>
      </c>
      <c r="E41" s="66"/>
      <c r="F41" s="66"/>
      <c r="G41" s="85">
        <v>0</v>
      </c>
      <c r="H41" s="85">
        <v>0</v>
      </c>
      <c r="J41" s="85">
        <f t="shared" si="8"/>
        <v>0</v>
      </c>
      <c r="K41" s="66"/>
      <c r="L41" s="82"/>
      <c r="M41" s="86"/>
      <c r="N41" s="83"/>
      <c r="Q41" s="63"/>
    </row>
    <row r="42" spans="2:17" ht="15.75" x14ac:dyDescent="0.25">
      <c r="B42" s="54">
        <f>IF(D42&lt;&gt;"",COUNTA($C$11:D42),"")</f>
        <v>31</v>
      </c>
      <c r="C42" s="54"/>
      <c r="D42" s="88" t="s">
        <v>61</v>
      </c>
      <c r="E42" s="66"/>
      <c r="F42" s="66"/>
      <c r="G42" s="85">
        <v>-7.1000000000000002E-4</v>
      </c>
      <c r="H42" s="85">
        <v>-7.1000000000000002E-4</v>
      </c>
      <c r="J42" s="85">
        <f t="shared" si="8"/>
        <v>0</v>
      </c>
      <c r="K42" s="66"/>
      <c r="L42" s="82"/>
      <c r="M42" s="86"/>
      <c r="N42" s="83"/>
      <c r="Q42" s="63"/>
    </row>
    <row r="43" spans="2:17" ht="15.75" x14ac:dyDescent="0.25">
      <c r="B43" s="54">
        <f>IF(D43&lt;&gt;"",COUNTA($C$11:D43),"")</f>
        <v>32</v>
      </c>
      <c r="C43" s="54"/>
      <c r="D43" s="88" t="s">
        <v>62</v>
      </c>
      <c r="E43" s="66"/>
      <c r="F43" s="66"/>
      <c r="G43" s="85">
        <v>1.8000000000000001E-4</v>
      </c>
      <c r="H43" s="85">
        <v>1.8000000000000001E-4</v>
      </c>
      <c r="J43" s="85">
        <f t="shared" si="8"/>
        <v>0</v>
      </c>
      <c r="K43" s="66"/>
      <c r="L43" s="82"/>
      <c r="M43" s="86"/>
      <c r="N43" s="83"/>
      <c r="Q43" s="63"/>
    </row>
    <row r="44" spans="2:17" ht="15.75" x14ac:dyDescent="0.25">
      <c r="B44" s="54">
        <f>IF(D44&lt;&gt;"",COUNTA($C$11:D44),"")</f>
        <v>33</v>
      </c>
      <c r="C44" s="54"/>
      <c r="D44" s="88" t="s">
        <v>63</v>
      </c>
      <c r="E44" s="66"/>
      <c r="F44" s="66"/>
      <c r="G44" s="85">
        <v>-3.1E-4</v>
      </c>
      <c r="H44" s="85">
        <v>-3.1E-4</v>
      </c>
      <c r="J44" s="85">
        <f t="shared" si="8"/>
        <v>0</v>
      </c>
      <c r="K44" s="66"/>
      <c r="L44" s="82"/>
      <c r="M44" s="86"/>
      <c r="N44" s="83"/>
      <c r="Q44" s="63"/>
    </row>
    <row r="45" spans="2:17" ht="15.75" x14ac:dyDescent="0.25">
      <c r="B45" s="54">
        <f>IF(D45&lt;&gt;"",COUNTA($C$11:D45),"")</f>
        <v>34</v>
      </c>
      <c r="C45" s="54"/>
      <c r="D45" s="88" t="s">
        <v>64</v>
      </c>
      <c r="E45" s="66"/>
      <c r="F45" s="66"/>
      <c r="G45" s="85">
        <v>1.39E-3</v>
      </c>
      <c r="H45" s="85">
        <v>1.39E-3</v>
      </c>
      <c r="J45" s="85">
        <f t="shared" si="8"/>
        <v>0</v>
      </c>
      <c r="K45" s="66"/>
      <c r="L45" s="82"/>
      <c r="M45" s="86"/>
      <c r="N45" s="83"/>
      <c r="Q45" s="63"/>
    </row>
    <row r="46" spans="2:17" ht="15.75" x14ac:dyDescent="0.25">
      <c r="B46" s="54">
        <f>IF(D46&lt;&gt;"",COUNTA($C$11:D46),"")</f>
        <v>35</v>
      </c>
      <c r="C46" s="54"/>
      <c r="D46" s="88" t="s">
        <v>65</v>
      </c>
      <c r="E46" s="66"/>
      <c r="F46" s="66"/>
      <c r="G46" s="85">
        <v>-9.2000000000000003E-4</v>
      </c>
      <c r="H46" s="85">
        <v>-9.2000000000000003E-4</v>
      </c>
      <c r="J46" s="85">
        <f t="shared" si="8"/>
        <v>0</v>
      </c>
      <c r="K46" s="66"/>
      <c r="L46" s="82"/>
      <c r="M46" s="86"/>
      <c r="N46" s="83"/>
      <c r="Q46" s="63"/>
    </row>
    <row r="47" spans="2:17" ht="15.75" x14ac:dyDescent="0.25">
      <c r="B47" s="54">
        <f>IF(D47&lt;&gt;"",COUNTA($C$11:D47),"")</f>
        <v>36</v>
      </c>
      <c r="C47" s="54"/>
      <c r="D47" s="88" t="s">
        <v>66</v>
      </c>
      <c r="E47" s="66"/>
      <c r="F47" s="66"/>
      <c r="G47" s="85">
        <v>2.8E-3</v>
      </c>
      <c r="H47" s="85">
        <v>2.8E-3</v>
      </c>
      <c r="J47" s="85">
        <f t="shared" si="8"/>
        <v>0</v>
      </c>
      <c r="K47" s="66"/>
      <c r="L47" s="82"/>
      <c r="M47" s="86"/>
      <c r="N47" s="83"/>
      <c r="Q47" s="63" t="s">
        <v>27</v>
      </c>
    </row>
    <row r="48" spans="2:17" ht="15.75" x14ac:dyDescent="0.25">
      <c r="B48" s="54">
        <f>IF(D48&lt;&gt;"",COUNTA($C$11:D48),"")</f>
        <v>37</v>
      </c>
      <c r="C48" s="54"/>
      <c r="D48" s="88" t="s">
        <v>67</v>
      </c>
      <c r="E48" s="66"/>
      <c r="F48" s="66"/>
      <c r="G48" s="85">
        <v>8.7899999999999992E-3</v>
      </c>
      <c r="H48" s="85">
        <v>8.7899999999999992E-3</v>
      </c>
      <c r="I48" s="85"/>
      <c r="J48" s="85">
        <f t="shared" si="8"/>
        <v>0</v>
      </c>
      <c r="K48" s="66"/>
      <c r="L48" s="82"/>
      <c r="M48" s="86"/>
      <c r="N48" s="83"/>
      <c r="Q48" s="63"/>
    </row>
    <row r="49" spans="2:17" ht="15.75" x14ac:dyDescent="0.25">
      <c r="B49" s="54">
        <f>IF(D49&lt;&gt;"",COUNTA($C$11:D49),"")</f>
        <v>38</v>
      </c>
      <c r="C49" s="54"/>
      <c r="D49" s="88" t="s">
        <v>68</v>
      </c>
      <c r="E49" s="66"/>
      <c r="F49" s="66"/>
      <c r="G49" s="85">
        <v>1.6000000000000001E-4</v>
      </c>
      <c r="H49" s="85">
        <v>1.6000000000000001E-4</v>
      </c>
      <c r="I49" s="85"/>
      <c r="J49" s="85">
        <f>+H49-G49</f>
        <v>0</v>
      </c>
      <c r="K49" s="66"/>
      <c r="L49" s="82"/>
      <c r="M49" s="86"/>
      <c r="N49" s="83"/>
      <c r="Q49" s="63"/>
    </row>
    <row r="50" spans="2:17" ht="15.75" x14ac:dyDescent="0.25">
      <c r="B50" s="54">
        <f>IF(D50&lt;&gt;"",COUNTA($C$11:D50),"")</f>
        <v>39</v>
      </c>
      <c r="C50" s="54"/>
      <c r="D50" s="88" t="s">
        <v>69</v>
      </c>
      <c r="E50" s="66"/>
      <c r="F50" s="66"/>
      <c r="G50" s="85">
        <v>8.0000000000000007E-5</v>
      </c>
      <c r="H50" s="85">
        <v>8.0000000000000007E-5</v>
      </c>
      <c r="I50" s="85"/>
      <c r="J50" s="85">
        <f>+H50-G50</f>
        <v>0</v>
      </c>
      <c r="K50" s="66"/>
      <c r="L50" s="82"/>
      <c r="M50" s="86"/>
      <c r="N50" s="83"/>
      <c r="Q50" s="63"/>
    </row>
    <row r="51" spans="2:17" ht="15.75" x14ac:dyDescent="0.25">
      <c r="B51" s="54">
        <f>IF(D51&lt;&gt;"",COUNTA($C$11:D51),"")</f>
        <v>40</v>
      </c>
      <c r="C51" s="54"/>
      <c r="D51" s="88" t="s">
        <v>70</v>
      </c>
      <c r="E51" s="66"/>
      <c r="F51" s="66"/>
      <c r="G51" s="85">
        <v>1.0000000000000001E-5</v>
      </c>
      <c r="H51" s="85">
        <v>1.0000000000000001E-5</v>
      </c>
      <c r="I51" s="85"/>
      <c r="J51" s="85">
        <f>+H51-G51</f>
        <v>0</v>
      </c>
      <c r="K51" s="66"/>
      <c r="L51" s="82"/>
      <c r="M51" s="86"/>
      <c r="N51" s="83"/>
      <c r="Q51" s="63"/>
    </row>
    <row r="52" spans="2:17" ht="15.75" x14ac:dyDescent="0.25">
      <c r="B52" s="54">
        <f>IF(D52&lt;&gt;"",COUNTA($C$11:D52),"")</f>
        <v>41</v>
      </c>
      <c r="C52" s="54"/>
      <c r="D52" s="88" t="s">
        <v>71</v>
      </c>
      <c r="E52" s="66"/>
      <c r="F52" s="66"/>
      <c r="G52" s="85">
        <v>1.0399999999999999E-3</v>
      </c>
      <c r="H52" s="85">
        <v>1.0399999999999999E-3</v>
      </c>
      <c r="I52" s="85"/>
      <c r="J52" s="85">
        <f>+H52-G52</f>
        <v>0</v>
      </c>
      <c r="K52" s="66"/>
      <c r="L52" s="82"/>
      <c r="M52" s="86"/>
      <c r="N52" s="83"/>
      <c r="Q52" s="63"/>
    </row>
    <row r="53" spans="2:17" ht="15.75" x14ac:dyDescent="0.25">
      <c r="B53" s="54">
        <f>IF(D53&lt;&gt;"",COUNTA($C$11:D53),"")</f>
        <v>42</v>
      </c>
      <c r="C53" s="54"/>
      <c r="D53" s="88" t="s">
        <v>72</v>
      </c>
      <c r="E53" s="66"/>
      <c r="F53" s="66"/>
      <c r="G53" s="85">
        <v>-7.6999999999999996E-4</v>
      </c>
      <c r="H53" s="85">
        <v>-7.6999999999999996E-4</v>
      </c>
      <c r="I53" s="85"/>
      <c r="J53" s="85">
        <f>+H53-G53</f>
        <v>0</v>
      </c>
      <c r="K53" s="66"/>
      <c r="L53" s="82"/>
      <c r="M53" s="86"/>
      <c r="N53" s="83"/>
      <c r="Q53" s="63"/>
    </row>
    <row r="54" spans="2:17" ht="15.75" x14ac:dyDescent="0.25">
      <c r="B54" s="54">
        <f>IF(D54&lt;&gt;"",COUNTA($C$11:D54),"")</f>
        <v>43</v>
      </c>
      <c r="C54" s="54"/>
      <c r="D54" s="88" t="s">
        <v>73</v>
      </c>
      <c r="E54" s="66"/>
      <c r="F54" s="66"/>
      <c r="G54" s="85">
        <v>4.6730000000000001E-2</v>
      </c>
      <c r="H54" s="85">
        <v>4.6730000000000001E-2</v>
      </c>
      <c r="J54" s="85">
        <f t="shared" si="8"/>
        <v>0</v>
      </c>
      <c r="K54" s="66"/>
      <c r="L54" s="82"/>
      <c r="M54" s="86"/>
      <c r="N54" s="83"/>
      <c r="Q54" s="63"/>
    </row>
    <row r="55" spans="2:17" ht="15.75" x14ac:dyDescent="0.25">
      <c r="B55" s="54">
        <f>IF(D55&lt;&gt;"",COUNTA($C$11:D55),"")</f>
        <v>44</v>
      </c>
      <c r="C55" s="54"/>
      <c r="D55" s="84" t="s">
        <v>74</v>
      </c>
      <c r="E55" s="66"/>
      <c r="F55" s="66"/>
      <c r="G55" s="85">
        <v>3.4880000000000001E-2</v>
      </c>
      <c r="H55" s="85">
        <v>4.2039999999999994E-2</v>
      </c>
      <c r="J55" s="85">
        <f t="shared" si="8"/>
        <v>7.1599999999999928E-3</v>
      </c>
      <c r="K55" s="66"/>
      <c r="L55" s="82"/>
      <c r="M55" s="86"/>
      <c r="N55" s="83"/>
      <c r="Q55" s="63"/>
    </row>
    <row r="56" spans="2:17" ht="15.75" x14ac:dyDescent="0.25">
      <c r="B56" s="54">
        <f>IF(D56&lt;&gt;"",COUNTA($C$11:D56),"")</f>
        <v>45</v>
      </c>
      <c r="C56" s="54"/>
      <c r="D56" s="84" t="s">
        <v>75</v>
      </c>
      <c r="E56" s="66"/>
      <c r="F56" s="66"/>
      <c r="G56" s="85">
        <v>2.5000000000000001E-3</v>
      </c>
      <c r="H56" s="85">
        <v>2.5000000000000001E-3</v>
      </c>
      <c r="J56" s="85">
        <f t="shared" si="8"/>
        <v>0</v>
      </c>
      <c r="K56" s="66"/>
      <c r="L56" s="82"/>
      <c r="M56" s="86"/>
      <c r="N56" s="83"/>
      <c r="Q56" s="63"/>
    </row>
    <row r="57" spans="2:17" ht="15.75" x14ac:dyDescent="0.25">
      <c r="B57" s="54">
        <f>IF(D57&lt;&gt;"",COUNTA($C$11:D57),"")</f>
        <v>46</v>
      </c>
      <c r="C57" s="54"/>
      <c r="D57" s="84" t="s">
        <v>76</v>
      </c>
      <c r="E57" s="66"/>
      <c r="F57" s="66"/>
      <c r="G57" s="85">
        <v>5.0000000000000001E-4</v>
      </c>
      <c r="H57" s="85">
        <v>5.0000000000000001E-4</v>
      </c>
      <c r="J57" s="85">
        <f t="shared" si="8"/>
        <v>0</v>
      </c>
      <c r="K57" s="66"/>
      <c r="L57" s="82"/>
      <c r="M57" s="86"/>
      <c r="N57" s="83"/>
      <c r="Q57" s="63"/>
    </row>
    <row r="58" spans="2:17" ht="15.75" x14ac:dyDescent="0.25">
      <c r="B58" s="54">
        <f>IF(D58&lt;&gt;"",COUNTA($C$11:D58),"")</f>
        <v>47</v>
      </c>
      <c r="C58" s="54"/>
      <c r="D58" s="84" t="s">
        <v>77</v>
      </c>
      <c r="E58" s="66"/>
      <c r="F58" s="66"/>
      <c r="G58" s="85">
        <v>0.1658</v>
      </c>
      <c r="H58" s="85">
        <v>0.1658</v>
      </c>
      <c r="J58" s="85">
        <f t="shared" si="8"/>
        <v>0</v>
      </c>
      <c r="K58" s="66"/>
      <c r="L58" s="82"/>
      <c r="M58" s="86"/>
      <c r="N58" s="83"/>
      <c r="Q58" s="63"/>
    </row>
    <row r="59" spans="2:17" ht="15.75" x14ac:dyDescent="0.25">
      <c r="L59" s="86"/>
      <c r="M59" s="86"/>
      <c r="N59" s="86"/>
    </row>
    <row r="60" spans="2:17" ht="15.75" x14ac:dyDescent="0.25">
      <c r="L60" s="86"/>
      <c r="M60" s="86"/>
      <c r="N60" s="86"/>
    </row>
    <row r="61" spans="2:17" x14ac:dyDescent="0.2">
      <c r="B61" s="47" t="s">
        <v>0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</row>
    <row r="62" spans="2:17" x14ac:dyDescent="0.2">
      <c r="B62" s="47" t="s">
        <v>39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17" x14ac:dyDescent="0.2">
      <c r="B63" s="47" t="s">
        <v>98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2:17" ht="15.75" x14ac:dyDescent="0.25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</row>
    <row r="65" spans="2:15" ht="15.75" x14ac:dyDescent="0.25">
      <c r="B65" s="49" t="s">
        <v>78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2:15" ht="15.75" x14ac:dyDescent="0.25">
      <c r="B66" s="50"/>
      <c r="C66" s="50"/>
      <c r="D66" s="51"/>
      <c r="E66" s="51"/>
      <c r="F66" s="51"/>
      <c r="G66" s="51"/>
      <c r="H66" s="52"/>
      <c r="I66" s="52"/>
      <c r="J66"/>
      <c r="K66"/>
      <c r="L66"/>
      <c r="M66"/>
      <c r="N66"/>
      <c r="O66"/>
    </row>
    <row r="67" spans="2:15" ht="15.75" x14ac:dyDescent="0.25">
      <c r="B67" s="50"/>
      <c r="C67" s="50"/>
      <c r="D67" s="51"/>
      <c r="E67" s="51"/>
      <c r="F67" s="51"/>
      <c r="G67" s="51"/>
      <c r="H67" s="53"/>
      <c r="I67" s="53"/>
      <c r="J67"/>
      <c r="K67"/>
      <c r="L67"/>
      <c r="M67"/>
      <c r="N67"/>
      <c r="O67"/>
    </row>
    <row r="68" spans="2:15" ht="15.75" x14ac:dyDescent="0.25">
      <c r="B68" s="54">
        <f>IF(D68&lt;&gt;"",COUNTA($D$68:D68),"")</f>
        <v>1</v>
      </c>
      <c r="C68" s="54"/>
      <c r="D68" s="50" t="s">
        <v>40</v>
      </c>
      <c r="E68" s="50"/>
      <c r="F68" s="56" t="s">
        <v>79</v>
      </c>
      <c r="G68" s="56"/>
      <c r="H68" s="56"/>
      <c r="I68" s="51"/>
      <c r="J68" s="56" t="s">
        <v>80</v>
      </c>
      <c r="K68" s="57"/>
      <c r="L68" s="57"/>
      <c r="M68"/>
      <c r="N68" s="57" t="str">
        <f>$N$10</f>
        <v>Total Bill Impact</v>
      </c>
      <c r="O68" s="57"/>
    </row>
    <row r="69" spans="2:15" ht="15.75" x14ac:dyDescent="0.25">
      <c r="B69" s="54">
        <f>IF(D69&lt;&gt;"",COUNTA($D$68:D69),"")</f>
        <v>2</v>
      </c>
      <c r="C69" s="54"/>
      <c r="D69" s="58" t="s">
        <v>42</v>
      </c>
      <c r="F69" s="59" t="s">
        <v>43</v>
      </c>
      <c r="G69" s="58" t="s">
        <v>44</v>
      </c>
      <c r="H69" s="59" t="s">
        <v>45</v>
      </c>
      <c r="I69" s="53"/>
      <c r="J69" s="58" t="s">
        <v>43</v>
      </c>
      <c r="K69" s="58" t="s">
        <v>44</v>
      </c>
      <c r="L69" s="58" t="s">
        <v>45</v>
      </c>
      <c r="M69"/>
      <c r="N69" s="58" t="s">
        <v>46</v>
      </c>
      <c r="O69" s="58" t="s">
        <v>10</v>
      </c>
    </row>
    <row r="70" spans="2:15" ht="15.75" x14ac:dyDescent="0.25">
      <c r="B70" s="54">
        <f>IF(D70&lt;&gt;"",COUNTA($D$68:D70),"")</f>
        <v>3</v>
      </c>
      <c r="C70" s="54"/>
      <c r="D70" s="60">
        <v>323.32018477422724</v>
      </c>
      <c r="F70" s="61">
        <f>ROUND(SUM($G$105,$G$107:$G$129,$G$131:$G$133)*$D70,2)+$G$104</f>
        <v>49.62</v>
      </c>
      <c r="G70" s="61">
        <f>ROUND($G$134*$D70,2)</f>
        <v>53.61</v>
      </c>
      <c r="H70" s="61">
        <f>SUM(F70:G70)</f>
        <v>103.22999999999999</v>
      </c>
      <c r="J70" s="61">
        <f>ROUND(SUM($H$105,$H$107:$H$129,$H$131:$H$133)*$D70,2)+$H$104</f>
        <v>51.93</v>
      </c>
      <c r="K70" s="61">
        <f>ROUND($H$134*$D70,2)</f>
        <v>53.61</v>
      </c>
      <c r="L70" s="61">
        <f>SUM(J70:K70)</f>
        <v>105.53999999999999</v>
      </c>
      <c r="M70" s="86"/>
      <c r="N70" s="61">
        <f>+L70-H70</f>
        <v>2.3100000000000023</v>
      </c>
      <c r="O70" s="62">
        <f>+N70/H70</f>
        <v>2.2377215925603048E-2</v>
      </c>
    </row>
    <row r="71" spans="2:15" ht="15.75" x14ac:dyDescent="0.25">
      <c r="B71" s="54">
        <f>IF(D71&lt;&gt;"",COUNTA($D$68:D71),"")</f>
        <v>4</v>
      </c>
      <c r="C71" s="54"/>
      <c r="D71" s="60">
        <v>646.64036954845449</v>
      </c>
      <c r="F71" s="61">
        <f t="shared" ref="F71:F83" si="9">ROUND(SUM($G$105,$G$107:$G$129,$G$131:$G$133)*$D71,2)+$G$104</f>
        <v>89.23</v>
      </c>
      <c r="G71" s="61">
        <f t="shared" ref="G71:G83" si="10">ROUND($G$134*$D71,2)</f>
        <v>107.21</v>
      </c>
      <c r="H71" s="61">
        <f t="shared" ref="H71:H83" si="11">SUM(F71:G71)</f>
        <v>196.44</v>
      </c>
      <c r="J71" s="61">
        <f t="shared" ref="J71:J83" si="12">ROUND(SUM($H$105,$H$107:$H$129,$H$131:$H$133)*$D71,2)+$H$104</f>
        <v>93.86</v>
      </c>
      <c r="K71" s="61">
        <f t="shared" ref="K71:K83" si="13">ROUND($H$134*$D71,2)</f>
        <v>107.21</v>
      </c>
      <c r="L71" s="61">
        <f t="shared" ref="L71:L83" si="14">SUM(J71:K71)</f>
        <v>201.07</v>
      </c>
      <c r="M71" s="86"/>
      <c r="N71" s="61">
        <f t="shared" ref="N71:N83" si="15">+L71-H71</f>
        <v>4.6299999999999955</v>
      </c>
      <c r="O71" s="62">
        <f t="shared" ref="O71:O83" si="16">+N71/H71</f>
        <v>2.3569537772347767E-2</v>
      </c>
    </row>
    <row r="72" spans="2:15" ht="15.75" x14ac:dyDescent="0.25">
      <c r="B72" s="54">
        <f>IF(D72&lt;&gt;"",COUNTA($D$68:D72),"")</f>
        <v>5</v>
      </c>
      <c r="C72" s="54"/>
      <c r="D72" s="60">
        <v>969.96055432268179</v>
      </c>
      <c r="F72" s="61">
        <f t="shared" si="9"/>
        <v>128.85</v>
      </c>
      <c r="G72" s="61">
        <f t="shared" si="10"/>
        <v>160.82</v>
      </c>
      <c r="H72" s="61">
        <f t="shared" si="11"/>
        <v>289.66999999999996</v>
      </c>
      <c r="J72" s="61">
        <f t="shared" si="12"/>
        <v>135.79000000000002</v>
      </c>
      <c r="K72" s="61">
        <f t="shared" si="13"/>
        <v>160.82</v>
      </c>
      <c r="L72" s="61">
        <f t="shared" si="14"/>
        <v>296.61</v>
      </c>
      <c r="M72" s="86"/>
      <c r="N72" s="61">
        <f t="shared" si="15"/>
        <v>6.9400000000000546</v>
      </c>
      <c r="O72" s="62">
        <f t="shared" si="16"/>
        <v>2.3958297372872771E-2</v>
      </c>
    </row>
    <row r="73" spans="2:15" ht="15.75" x14ac:dyDescent="0.25">
      <c r="B73" s="54">
        <f>IF(D73&lt;&gt;"",COUNTA($D$68:D73),"")</f>
        <v>6</v>
      </c>
      <c r="C73" s="54"/>
      <c r="D73" s="60">
        <v>1293.280739096909</v>
      </c>
      <c r="F73" s="61">
        <f>ROUND(SUM($G$105,$G$107:$G$129,$G$131:$G$133)*$D73,2)+$G$104</f>
        <v>168.47</v>
      </c>
      <c r="G73" s="61">
        <f t="shared" si="10"/>
        <v>214.43</v>
      </c>
      <c r="H73" s="61">
        <f t="shared" si="11"/>
        <v>382.9</v>
      </c>
      <c r="J73" s="61">
        <f t="shared" si="12"/>
        <v>177.73</v>
      </c>
      <c r="K73" s="61">
        <f t="shared" si="13"/>
        <v>214.43</v>
      </c>
      <c r="L73" s="61">
        <f t="shared" si="14"/>
        <v>392.15999999999997</v>
      </c>
      <c r="M73" s="86"/>
      <c r="N73" s="61">
        <f t="shared" si="15"/>
        <v>9.2599999999999909</v>
      </c>
      <c r="O73" s="62">
        <f t="shared" si="16"/>
        <v>2.4183860015669866E-2</v>
      </c>
    </row>
    <row r="74" spans="2:15" ht="15.75" x14ac:dyDescent="0.25">
      <c r="B74" s="54">
        <f>IF(D74&lt;&gt;"",COUNTA($D$68:D74),"")</f>
        <v>7</v>
      </c>
      <c r="C74" s="54"/>
      <c r="D74" s="60">
        <v>1616.6009238711365</v>
      </c>
      <c r="F74" s="61">
        <f t="shared" si="9"/>
        <v>208.08</v>
      </c>
      <c r="G74" s="61">
        <f t="shared" si="10"/>
        <v>268.02999999999997</v>
      </c>
      <c r="H74" s="61">
        <f t="shared" si="11"/>
        <v>476.11</v>
      </c>
      <c r="J74" s="61">
        <f t="shared" si="12"/>
        <v>219.66</v>
      </c>
      <c r="K74" s="61">
        <f t="shared" si="13"/>
        <v>268.02999999999997</v>
      </c>
      <c r="L74" s="61">
        <f t="shared" si="14"/>
        <v>487.68999999999994</v>
      </c>
      <c r="M74" s="86"/>
      <c r="N74" s="61">
        <f t="shared" si="15"/>
        <v>11.579999999999927</v>
      </c>
      <c r="O74" s="62">
        <f t="shared" si="16"/>
        <v>2.4322110436663644E-2</v>
      </c>
    </row>
    <row r="75" spans="2:15" ht="15.75" x14ac:dyDescent="0.25">
      <c r="B75" s="54">
        <f>IF(D75&lt;&gt;"",COUNTA($D$68:D75),"")</f>
        <v>8</v>
      </c>
      <c r="C75" s="54"/>
      <c r="D75" s="60">
        <v>1939.9211086453636</v>
      </c>
      <c r="F75" s="61">
        <f t="shared" si="9"/>
        <v>247.7</v>
      </c>
      <c r="G75" s="61">
        <f t="shared" si="10"/>
        <v>321.64</v>
      </c>
      <c r="H75" s="61">
        <f t="shared" si="11"/>
        <v>569.33999999999992</v>
      </c>
      <c r="J75" s="61">
        <f t="shared" si="12"/>
        <v>261.59000000000003</v>
      </c>
      <c r="K75" s="61">
        <f t="shared" si="13"/>
        <v>321.64</v>
      </c>
      <c r="L75" s="61">
        <f t="shared" si="14"/>
        <v>583.23</v>
      </c>
      <c r="M75" s="86"/>
      <c r="N75" s="61">
        <f t="shared" si="15"/>
        <v>13.8900000000001</v>
      </c>
      <c r="O75" s="62">
        <f t="shared" si="16"/>
        <v>2.439666982822233E-2</v>
      </c>
    </row>
    <row r="76" spans="2:15" ht="15.75" x14ac:dyDescent="0.25">
      <c r="B76" s="54">
        <f>IF(D76&lt;&gt;"",COUNTA($D$68:D76),"")</f>
        <v>9</v>
      </c>
      <c r="C76" s="54"/>
      <c r="D76" s="60">
        <v>2263.2412934195909</v>
      </c>
      <c r="F76" s="61">
        <f t="shared" si="9"/>
        <v>287.31</v>
      </c>
      <c r="G76" s="61">
        <f t="shared" si="10"/>
        <v>375.25</v>
      </c>
      <c r="H76" s="61">
        <f t="shared" si="11"/>
        <v>662.56</v>
      </c>
      <c r="J76" s="61">
        <f t="shared" si="12"/>
        <v>303.52</v>
      </c>
      <c r="K76" s="61">
        <f t="shared" si="13"/>
        <v>375.25</v>
      </c>
      <c r="L76" s="61">
        <f t="shared" si="14"/>
        <v>678.77</v>
      </c>
      <c r="M76" s="86"/>
      <c r="N76" s="61">
        <f t="shared" si="15"/>
        <v>16.210000000000036</v>
      </c>
      <c r="O76" s="62">
        <f t="shared" si="16"/>
        <v>2.4465708765998607E-2</v>
      </c>
    </row>
    <row r="77" spans="2:15" ht="15.75" x14ac:dyDescent="0.25">
      <c r="B77" s="54">
        <f>IF(D77&lt;&gt;"",COUNTA($D$68:D77),"")</f>
        <v>10</v>
      </c>
      <c r="C77" s="54"/>
      <c r="D77" s="60">
        <v>2586.5614781938179</v>
      </c>
      <c r="F77" s="61">
        <f t="shared" si="9"/>
        <v>326.93</v>
      </c>
      <c r="G77" s="61">
        <f t="shared" si="10"/>
        <v>428.85</v>
      </c>
      <c r="H77" s="61">
        <f t="shared" si="11"/>
        <v>755.78</v>
      </c>
      <c r="J77" s="61">
        <f t="shared" si="12"/>
        <v>345.45</v>
      </c>
      <c r="K77" s="61">
        <f t="shared" si="13"/>
        <v>428.85</v>
      </c>
      <c r="L77" s="61">
        <f t="shared" si="14"/>
        <v>774.3</v>
      </c>
      <c r="M77" s="86"/>
      <c r="N77" s="61">
        <f t="shared" si="15"/>
        <v>18.519999999999982</v>
      </c>
      <c r="O77" s="62">
        <f t="shared" si="16"/>
        <v>2.4504485432268627E-2</v>
      </c>
    </row>
    <row r="78" spans="2:15" ht="15.75" x14ac:dyDescent="0.25">
      <c r="B78" s="54">
        <f>IF(D78&lt;&gt;"",COUNTA($D$68:D78),"")</f>
        <v>11</v>
      </c>
      <c r="C78" s="54"/>
      <c r="D78" s="60">
        <v>2909.8816629680455</v>
      </c>
      <c r="F78" s="61">
        <f t="shared" si="9"/>
        <v>366.55</v>
      </c>
      <c r="G78" s="61">
        <f t="shared" si="10"/>
        <v>482.46</v>
      </c>
      <c r="H78" s="61">
        <f t="shared" si="11"/>
        <v>849.01</v>
      </c>
      <c r="J78" s="61">
        <f t="shared" si="12"/>
        <v>387.38</v>
      </c>
      <c r="K78" s="61">
        <f t="shared" si="13"/>
        <v>482.46</v>
      </c>
      <c r="L78" s="61">
        <f t="shared" si="14"/>
        <v>869.83999999999992</v>
      </c>
      <c r="M78" s="86"/>
      <c r="N78" s="61">
        <f t="shared" si="15"/>
        <v>20.829999999999927</v>
      </c>
      <c r="O78" s="62">
        <f t="shared" si="16"/>
        <v>2.4534457780238075E-2</v>
      </c>
    </row>
    <row r="79" spans="2:15" ht="15.75" x14ac:dyDescent="0.25">
      <c r="B79" s="54">
        <f>IF(D79&lt;&gt;"",COUNTA($D$68:D79),"")</f>
        <v>12</v>
      </c>
      <c r="C79" s="54"/>
      <c r="D79" s="60">
        <v>3233.201847742273</v>
      </c>
      <c r="F79" s="61">
        <f t="shared" si="9"/>
        <v>406.16</v>
      </c>
      <c r="G79" s="61">
        <f t="shared" si="10"/>
        <v>536.05999999999995</v>
      </c>
      <c r="H79" s="61">
        <f t="shared" si="11"/>
        <v>942.22</v>
      </c>
      <c r="J79" s="61">
        <f t="shared" si="12"/>
        <v>429.31</v>
      </c>
      <c r="K79" s="61">
        <f t="shared" si="13"/>
        <v>536.05999999999995</v>
      </c>
      <c r="L79" s="61">
        <f t="shared" si="14"/>
        <v>965.36999999999989</v>
      </c>
      <c r="M79" s="86"/>
      <c r="N79" s="61">
        <f t="shared" si="15"/>
        <v>23.149999999999864</v>
      </c>
      <c r="O79" s="62">
        <f t="shared" si="16"/>
        <v>2.4569633418946597E-2</v>
      </c>
    </row>
    <row r="80" spans="2:15" ht="15.75" x14ac:dyDescent="0.25">
      <c r="B80" s="54">
        <f>IF(D80&lt;&gt;"",COUNTA($D$68:D80),"")</f>
        <v>13</v>
      </c>
      <c r="C80" s="54"/>
      <c r="D80" s="60">
        <v>4041.5023096778409</v>
      </c>
      <c r="F80" s="61">
        <f t="shared" si="9"/>
        <v>505.21</v>
      </c>
      <c r="G80" s="61">
        <f t="shared" si="10"/>
        <v>670.08</v>
      </c>
      <c r="H80" s="61">
        <f t="shared" si="11"/>
        <v>1175.29</v>
      </c>
      <c r="J80" s="61">
        <f t="shared" si="12"/>
        <v>534.14</v>
      </c>
      <c r="K80" s="61">
        <f t="shared" si="13"/>
        <v>670.08</v>
      </c>
      <c r="L80" s="61">
        <f t="shared" si="14"/>
        <v>1204.22</v>
      </c>
      <c r="M80" s="86"/>
      <c r="N80" s="61">
        <f t="shared" si="15"/>
        <v>28.930000000000064</v>
      </c>
      <c r="O80" s="62">
        <f t="shared" si="16"/>
        <v>2.4615201354559354E-2</v>
      </c>
    </row>
    <row r="81" spans="2:15" ht="15.75" x14ac:dyDescent="0.25">
      <c r="B81" s="54">
        <f>IF(D81&lt;&gt;"",COUNTA($D$68:D81),"")</f>
        <v>14</v>
      </c>
      <c r="C81" s="54"/>
      <c r="D81" s="60">
        <v>4849.8027716134084</v>
      </c>
      <c r="F81" s="61">
        <f t="shared" si="9"/>
        <v>604.25</v>
      </c>
      <c r="G81" s="61">
        <f t="shared" si="10"/>
        <v>804.1</v>
      </c>
      <c r="H81" s="61">
        <f t="shared" si="11"/>
        <v>1408.35</v>
      </c>
      <c r="J81" s="61">
        <f t="shared" si="12"/>
        <v>638.97</v>
      </c>
      <c r="K81" s="61">
        <f t="shared" si="13"/>
        <v>804.1</v>
      </c>
      <c r="L81" s="61">
        <f t="shared" si="14"/>
        <v>1443.0700000000002</v>
      </c>
      <c r="M81" s="86"/>
      <c r="N81" s="61">
        <f t="shared" si="15"/>
        <v>34.720000000000255</v>
      </c>
      <c r="O81" s="62">
        <f t="shared" si="16"/>
        <v>2.4652962686832289E-2</v>
      </c>
    </row>
    <row r="82" spans="2:15" ht="15.75" x14ac:dyDescent="0.25">
      <c r="B82" s="54">
        <f>IF(D82&lt;&gt;"",COUNTA($D$68:D82),"")</f>
        <v>15</v>
      </c>
      <c r="C82" s="54"/>
      <c r="D82" s="60">
        <v>6466.403695484546</v>
      </c>
      <c r="F82" s="61">
        <f t="shared" si="9"/>
        <v>802.33</v>
      </c>
      <c r="G82" s="61">
        <f t="shared" si="10"/>
        <v>1072.1300000000001</v>
      </c>
      <c r="H82" s="61">
        <f t="shared" si="11"/>
        <v>1874.46</v>
      </c>
      <c r="J82" s="61">
        <f t="shared" si="12"/>
        <v>848.63</v>
      </c>
      <c r="K82" s="61">
        <f t="shared" si="13"/>
        <v>1072.1300000000001</v>
      </c>
      <c r="L82" s="61">
        <f t="shared" si="14"/>
        <v>1920.7600000000002</v>
      </c>
      <c r="M82" s="86"/>
      <c r="N82" s="61">
        <f t="shared" si="15"/>
        <v>46.300000000000182</v>
      </c>
      <c r="O82" s="62">
        <f t="shared" si="16"/>
        <v>2.4700447062087311E-2</v>
      </c>
    </row>
    <row r="83" spans="2:15" ht="15.75" x14ac:dyDescent="0.25">
      <c r="B83" s="54">
        <f>IF(D83&lt;&gt;"",COUNTA($D$68:D83),"")</f>
        <v>16</v>
      </c>
      <c r="C83" s="54" t="s">
        <v>47</v>
      </c>
      <c r="D83" s="60">
        <v>1713.5969793034044</v>
      </c>
      <c r="F83" s="61">
        <f t="shared" si="9"/>
        <v>219.97</v>
      </c>
      <c r="G83" s="61">
        <f t="shared" si="10"/>
        <v>284.11</v>
      </c>
      <c r="H83" s="61">
        <f t="shared" si="11"/>
        <v>504.08000000000004</v>
      </c>
      <c r="J83" s="61">
        <f t="shared" si="12"/>
        <v>232.24</v>
      </c>
      <c r="K83" s="61">
        <f t="shared" si="13"/>
        <v>284.11</v>
      </c>
      <c r="L83" s="61">
        <f t="shared" si="14"/>
        <v>516.35</v>
      </c>
      <c r="M83" s="86"/>
      <c r="N83" s="61">
        <f t="shared" si="15"/>
        <v>12.269999999999982</v>
      </c>
      <c r="O83" s="62">
        <f t="shared" si="16"/>
        <v>2.4341374385018214E-2</v>
      </c>
    </row>
    <row r="84" spans="2:15" ht="15.75" x14ac:dyDescent="0.25">
      <c r="B84" s="54" t="str">
        <f>IF(D84&lt;&gt;"",COUNTA($D$68:D84),"")</f>
        <v/>
      </c>
      <c r="L84" s="86"/>
      <c r="M84" s="86"/>
      <c r="N84" s="86"/>
    </row>
    <row r="85" spans="2:15" ht="15.75" x14ac:dyDescent="0.25">
      <c r="B85" s="54">
        <f>IF(D85&lt;&gt;"",COUNTA($D$68:D85),"")</f>
        <v>17</v>
      </c>
      <c r="C85" s="54"/>
      <c r="D85" s="50" t="s">
        <v>40</v>
      </c>
      <c r="E85" s="50"/>
      <c r="F85" s="56" t="s">
        <v>81</v>
      </c>
      <c r="G85" s="56"/>
      <c r="H85" s="56"/>
      <c r="I85" s="51"/>
      <c r="J85" s="56" t="s">
        <v>82</v>
      </c>
      <c r="K85" s="57"/>
      <c r="L85" s="57"/>
      <c r="M85"/>
      <c r="N85" s="57" t="str">
        <f>$N$10</f>
        <v>Total Bill Impact</v>
      </c>
      <c r="O85" s="57"/>
    </row>
    <row r="86" spans="2:15" ht="15.75" x14ac:dyDescent="0.25">
      <c r="B86" s="54">
        <f>IF(D86&lt;&gt;"",COUNTA($D$68:D86),"")</f>
        <v>18</v>
      </c>
      <c r="C86" s="54"/>
      <c r="D86" s="58" t="s">
        <v>42</v>
      </c>
      <c r="F86" s="59" t="s">
        <v>43</v>
      </c>
      <c r="G86" s="58" t="s">
        <v>44</v>
      </c>
      <c r="H86" s="59" t="s">
        <v>45</v>
      </c>
      <c r="I86" s="53"/>
      <c r="J86" s="58" t="s">
        <v>43</v>
      </c>
      <c r="K86" s="58" t="s">
        <v>44</v>
      </c>
      <c r="L86" s="58" t="s">
        <v>45</v>
      </c>
      <c r="M86"/>
      <c r="N86" s="58" t="s">
        <v>46</v>
      </c>
      <c r="O86" s="58" t="s">
        <v>10</v>
      </c>
    </row>
    <row r="87" spans="2:15" ht="15.75" x14ac:dyDescent="0.25">
      <c r="B87" s="54">
        <f>IF(D87&lt;&gt;"",COUNTA($D$68:D87),"")</f>
        <v>19</v>
      </c>
      <c r="C87" s="54"/>
      <c r="D87" s="60">
        <v>113.66094730124446</v>
      </c>
      <c r="F87" s="61">
        <f>ROUND(SUM($G$106:$G$128,$G$130:$G$133)*$D87,2)+$G$104</f>
        <v>32.72</v>
      </c>
      <c r="G87" s="61">
        <f>ROUND($G$134*$D87,2)</f>
        <v>18.84</v>
      </c>
      <c r="H87" s="61">
        <f t="shared" ref="H87:H100" si="17">SUM(F87:G87)</f>
        <v>51.56</v>
      </c>
      <c r="J87" s="61">
        <f>ROUND(SUM($H$106:$H$128,$H$130:$H$133)*$D87,2)+$H$104</f>
        <v>33.53</v>
      </c>
      <c r="K87" s="61">
        <f>ROUND($H$134*$D87,2)</f>
        <v>18.84</v>
      </c>
      <c r="L87" s="61">
        <f>SUM(J87:K87)</f>
        <v>52.370000000000005</v>
      </c>
      <c r="M87" s="86"/>
      <c r="N87" s="61">
        <f>+L87-H87</f>
        <v>0.81000000000000227</v>
      </c>
      <c r="O87" s="62">
        <f>+N87/H87</f>
        <v>1.5709852598913929E-2</v>
      </c>
    </row>
    <row r="88" spans="2:15" ht="15.75" x14ac:dyDescent="0.25">
      <c r="B88" s="54">
        <f>IF(D88&lt;&gt;"",COUNTA($D$68:D88),"")</f>
        <v>20</v>
      </c>
      <c r="C88" s="54"/>
      <c r="D88" s="60">
        <v>227.32189460248892</v>
      </c>
      <c r="F88" s="61">
        <f t="shared" ref="F88:F100" si="18">ROUND(SUM($G$106:$G$128,$G$130:$G$133)*$D88,2)+$G$104</f>
        <v>55.43</v>
      </c>
      <c r="G88" s="61">
        <f t="shared" ref="G88:G100" si="19">ROUND($G$134*$D88,2)</f>
        <v>37.69</v>
      </c>
      <c r="H88" s="61">
        <f t="shared" si="17"/>
        <v>93.12</v>
      </c>
      <c r="J88" s="61">
        <f t="shared" ref="J88:J100" si="20">ROUND(SUM($H$106:$H$128,$H$130:$H$133)*$D88,2)+$H$104</f>
        <v>57.06</v>
      </c>
      <c r="K88" s="61">
        <f t="shared" ref="K88:K100" si="21">ROUND($H$134*$D88,2)</f>
        <v>37.69</v>
      </c>
      <c r="L88" s="61">
        <f t="shared" ref="L88:L100" si="22">SUM(J88:K88)</f>
        <v>94.75</v>
      </c>
      <c r="M88" s="86"/>
      <c r="N88" s="61">
        <f t="shared" ref="N88:N100" si="23">+L88-H88</f>
        <v>1.6299999999999955</v>
      </c>
      <c r="O88" s="62">
        <f t="shared" ref="O88:O100" si="24">+N88/H88</f>
        <v>1.7504295532646E-2</v>
      </c>
    </row>
    <row r="89" spans="2:15" ht="15.75" x14ac:dyDescent="0.25">
      <c r="B89" s="54">
        <f>IF(D89&lt;&gt;"",COUNTA($D$68:D89),"")</f>
        <v>21</v>
      </c>
      <c r="C89" s="54"/>
      <c r="D89" s="60">
        <v>340.9828419037334</v>
      </c>
      <c r="F89" s="61">
        <f t="shared" si="18"/>
        <v>78.150000000000006</v>
      </c>
      <c r="G89" s="61">
        <f t="shared" si="19"/>
        <v>56.53</v>
      </c>
      <c r="H89" s="61">
        <f t="shared" si="17"/>
        <v>134.68</v>
      </c>
      <c r="J89" s="61">
        <f t="shared" si="20"/>
        <v>80.59</v>
      </c>
      <c r="K89" s="61">
        <f t="shared" si="21"/>
        <v>56.53</v>
      </c>
      <c r="L89" s="61">
        <f t="shared" si="22"/>
        <v>137.12</v>
      </c>
      <c r="M89" s="86"/>
      <c r="N89" s="61">
        <f t="shared" si="23"/>
        <v>2.4399999999999977</v>
      </c>
      <c r="O89" s="62">
        <f t="shared" si="24"/>
        <v>1.8117018117018099E-2</v>
      </c>
    </row>
    <row r="90" spans="2:15" ht="15.75" x14ac:dyDescent="0.25">
      <c r="B90" s="54">
        <f>IF(D90&lt;&gt;"",COUNTA($D$68:D90),"")</f>
        <v>22</v>
      </c>
      <c r="C90" s="54"/>
      <c r="D90" s="60">
        <v>454.64378920497785</v>
      </c>
      <c r="F90" s="61">
        <f t="shared" si="18"/>
        <v>100.86</v>
      </c>
      <c r="G90" s="61">
        <f t="shared" si="19"/>
        <v>75.38</v>
      </c>
      <c r="H90" s="61">
        <f t="shared" si="17"/>
        <v>176.24</v>
      </c>
      <c r="J90" s="61">
        <f t="shared" si="20"/>
        <v>104.12</v>
      </c>
      <c r="K90" s="61">
        <f t="shared" si="21"/>
        <v>75.38</v>
      </c>
      <c r="L90" s="61">
        <f t="shared" si="22"/>
        <v>179.5</v>
      </c>
      <c r="M90" s="86"/>
      <c r="N90" s="61">
        <f t="shared" si="23"/>
        <v>3.2599999999999909</v>
      </c>
      <c r="O90" s="62">
        <f t="shared" si="24"/>
        <v>1.8497503404448428E-2</v>
      </c>
    </row>
    <row r="91" spans="2:15" ht="15.75" x14ac:dyDescent="0.25">
      <c r="B91" s="54">
        <f>IF(D91&lt;&gt;"",COUNTA($D$68:D91),"")</f>
        <v>23</v>
      </c>
      <c r="C91" s="54"/>
      <c r="D91" s="60">
        <v>568.30473650622241</v>
      </c>
      <c r="F91" s="61">
        <f t="shared" si="18"/>
        <v>123.58</v>
      </c>
      <c r="G91" s="61">
        <f t="shared" si="19"/>
        <v>94.22</v>
      </c>
      <c r="H91" s="61">
        <f t="shared" si="17"/>
        <v>217.8</v>
      </c>
      <c r="J91" s="61">
        <f t="shared" si="20"/>
        <v>127.64</v>
      </c>
      <c r="K91" s="61">
        <f t="shared" si="21"/>
        <v>94.22</v>
      </c>
      <c r="L91" s="61">
        <f t="shared" si="22"/>
        <v>221.86</v>
      </c>
      <c r="M91" s="86"/>
      <c r="N91" s="61">
        <f t="shared" si="23"/>
        <v>4.0600000000000023</v>
      </c>
      <c r="O91" s="62">
        <f t="shared" si="24"/>
        <v>1.8640955004591377E-2</v>
      </c>
    </row>
    <row r="92" spans="2:15" ht="15.75" x14ac:dyDescent="0.25">
      <c r="B92" s="54">
        <f>IF(D92&lt;&gt;"",COUNTA($D$68:D92),"")</f>
        <v>24</v>
      </c>
      <c r="C92" s="54"/>
      <c r="D92" s="60">
        <v>681.9656838074668</v>
      </c>
      <c r="F92" s="61">
        <f t="shared" si="18"/>
        <v>146.29</v>
      </c>
      <c r="G92" s="61">
        <f t="shared" si="19"/>
        <v>113.07</v>
      </c>
      <c r="H92" s="61">
        <f t="shared" si="17"/>
        <v>259.36</v>
      </c>
      <c r="J92" s="61">
        <f t="shared" si="20"/>
        <v>151.16999999999999</v>
      </c>
      <c r="K92" s="61">
        <f t="shared" si="21"/>
        <v>113.07</v>
      </c>
      <c r="L92" s="61">
        <f t="shared" si="22"/>
        <v>264.24</v>
      </c>
      <c r="M92" s="86"/>
      <c r="N92" s="61">
        <f t="shared" si="23"/>
        <v>4.8799999999999955</v>
      </c>
      <c r="O92" s="62">
        <f t="shared" si="24"/>
        <v>1.8815545959284374E-2</v>
      </c>
    </row>
    <row r="93" spans="2:15" ht="15.75" x14ac:dyDescent="0.25">
      <c r="B93" s="54">
        <f>IF(D93&lt;&gt;"",COUNTA($D$68:D93),"")</f>
        <v>25</v>
      </c>
      <c r="C93" s="54"/>
      <c r="D93" s="60">
        <v>795.62663110871119</v>
      </c>
      <c r="F93" s="61">
        <f t="shared" si="18"/>
        <v>169.01</v>
      </c>
      <c r="G93" s="61">
        <f t="shared" si="19"/>
        <v>131.91</v>
      </c>
      <c r="H93" s="61">
        <f t="shared" si="17"/>
        <v>300.91999999999996</v>
      </c>
      <c r="J93" s="61">
        <f t="shared" si="20"/>
        <v>174.7</v>
      </c>
      <c r="K93" s="61">
        <f t="shared" si="21"/>
        <v>131.91</v>
      </c>
      <c r="L93" s="61">
        <f t="shared" si="22"/>
        <v>306.61</v>
      </c>
      <c r="M93" s="86"/>
      <c r="N93" s="61">
        <f t="shared" si="23"/>
        <v>5.6900000000000546</v>
      </c>
      <c r="O93" s="62">
        <f t="shared" si="24"/>
        <v>1.8908680047853434E-2</v>
      </c>
    </row>
    <row r="94" spans="2:15" ht="15.75" x14ac:dyDescent="0.25">
      <c r="B94" s="54">
        <f>IF(D94&lt;&gt;"",COUNTA($D$68:D94),"")</f>
        <v>26</v>
      </c>
      <c r="C94" s="54"/>
      <c r="D94" s="60">
        <v>909.2875784099557</v>
      </c>
      <c r="F94" s="61">
        <f t="shared" si="18"/>
        <v>191.72</v>
      </c>
      <c r="G94" s="61">
        <f t="shared" si="19"/>
        <v>150.76</v>
      </c>
      <c r="H94" s="61">
        <f t="shared" si="17"/>
        <v>342.48</v>
      </c>
      <c r="J94" s="61">
        <f t="shared" si="20"/>
        <v>198.23</v>
      </c>
      <c r="K94" s="61">
        <f t="shared" si="21"/>
        <v>150.76</v>
      </c>
      <c r="L94" s="61">
        <f t="shared" si="22"/>
        <v>348.99</v>
      </c>
      <c r="M94" s="86"/>
      <c r="N94" s="61">
        <f t="shared" si="23"/>
        <v>6.5099999999999909</v>
      </c>
      <c r="O94" s="62">
        <f t="shared" si="24"/>
        <v>1.9008409250175166E-2</v>
      </c>
    </row>
    <row r="95" spans="2:15" ht="15.75" x14ac:dyDescent="0.25">
      <c r="B95" s="54">
        <f>IF(D95&lt;&gt;"",COUNTA($D$68:D95),"")</f>
        <v>27</v>
      </c>
      <c r="C95" s="54"/>
      <c r="D95" s="60">
        <v>1022.9485257112002</v>
      </c>
      <c r="F95" s="61">
        <f t="shared" si="18"/>
        <v>214.44</v>
      </c>
      <c r="G95" s="61">
        <f t="shared" si="19"/>
        <v>169.6</v>
      </c>
      <c r="H95" s="61">
        <f t="shared" si="17"/>
        <v>384.03999999999996</v>
      </c>
      <c r="J95" s="61">
        <f t="shared" si="20"/>
        <v>221.76</v>
      </c>
      <c r="K95" s="61">
        <f t="shared" si="21"/>
        <v>169.6</v>
      </c>
      <c r="L95" s="61">
        <f t="shared" si="22"/>
        <v>391.36</v>
      </c>
      <c r="M95" s="86"/>
      <c r="N95" s="61">
        <f t="shared" si="23"/>
        <v>7.32000000000005</v>
      </c>
      <c r="O95" s="62">
        <f t="shared" si="24"/>
        <v>1.9060514529736616E-2</v>
      </c>
    </row>
    <row r="96" spans="2:15" ht="15.75" x14ac:dyDescent="0.25">
      <c r="B96" s="54">
        <f>IF(D96&lt;&gt;"",COUNTA($D$68:D96),"")</f>
        <v>28</v>
      </c>
      <c r="C96" s="54"/>
      <c r="D96" s="60">
        <v>1136.6094730124448</v>
      </c>
      <c r="F96" s="61">
        <f t="shared" si="18"/>
        <v>237.15</v>
      </c>
      <c r="G96" s="61">
        <f t="shared" si="19"/>
        <v>188.45</v>
      </c>
      <c r="H96" s="61">
        <f t="shared" si="17"/>
        <v>425.6</v>
      </c>
      <c r="J96" s="61">
        <f t="shared" si="20"/>
        <v>245.29</v>
      </c>
      <c r="K96" s="61">
        <f t="shared" si="21"/>
        <v>188.45</v>
      </c>
      <c r="L96" s="61">
        <f t="shared" si="22"/>
        <v>433.74</v>
      </c>
      <c r="M96" s="86"/>
      <c r="N96" s="61">
        <f t="shared" si="23"/>
        <v>8.1399999999999864</v>
      </c>
      <c r="O96" s="62">
        <f t="shared" si="24"/>
        <v>1.9125939849624025E-2</v>
      </c>
    </row>
    <row r="97" spans="2:15" ht="15.75" x14ac:dyDescent="0.25">
      <c r="B97" s="54">
        <f>IF(D97&lt;&gt;"",COUNTA($D$68:D97),"")</f>
        <v>29</v>
      </c>
      <c r="C97" s="54"/>
      <c r="D97" s="60">
        <v>1420.7618412655559</v>
      </c>
      <c r="F97" s="61">
        <f t="shared" si="18"/>
        <v>293.94</v>
      </c>
      <c r="G97" s="61">
        <f t="shared" si="19"/>
        <v>235.56</v>
      </c>
      <c r="H97" s="61">
        <f t="shared" si="17"/>
        <v>529.5</v>
      </c>
      <c r="J97" s="61">
        <f t="shared" si="20"/>
        <v>304.11</v>
      </c>
      <c r="K97" s="61">
        <f t="shared" si="21"/>
        <v>235.56</v>
      </c>
      <c r="L97" s="61">
        <f t="shared" si="22"/>
        <v>539.67000000000007</v>
      </c>
      <c r="M97" s="86"/>
      <c r="N97" s="61">
        <f t="shared" si="23"/>
        <v>10.170000000000073</v>
      </c>
      <c r="O97" s="62">
        <f t="shared" si="24"/>
        <v>1.9206798866855661E-2</v>
      </c>
    </row>
    <row r="98" spans="2:15" ht="15.75" x14ac:dyDescent="0.25">
      <c r="B98" s="54">
        <f>IF(D98&lt;&gt;"",COUNTA($D$68:D98),"")</f>
        <v>30</v>
      </c>
      <c r="C98" s="54"/>
      <c r="D98" s="60">
        <v>1704.9142095186669</v>
      </c>
      <c r="F98" s="61">
        <f t="shared" si="18"/>
        <v>350.73</v>
      </c>
      <c r="G98" s="61">
        <f t="shared" si="19"/>
        <v>282.67</v>
      </c>
      <c r="H98" s="61">
        <f t="shared" si="17"/>
        <v>633.40000000000009</v>
      </c>
      <c r="J98" s="61">
        <f t="shared" si="20"/>
        <v>362.93</v>
      </c>
      <c r="K98" s="61">
        <f t="shared" si="21"/>
        <v>282.67</v>
      </c>
      <c r="L98" s="61">
        <f t="shared" si="22"/>
        <v>645.6</v>
      </c>
      <c r="M98" s="86"/>
      <c r="N98" s="61">
        <f t="shared" si="23"/>
        <v>12.199999999999932</v>
      </c>
      <c r="O98" s="62">
        <f t="shared" si="24"/>
        <v>1.9261130407325435E-2</v>
      </c>
    </row>
    <row r="99" spans="2:15" ht="15.75" x14ac:dyDescent="0.25">
      <c r="B99" s="54">
        <f>IF(D99&lt;&gt;"",COUNTA($D$68:D99),"")</f>
        <v>31</v>
      </c>
      <c r="C99" s="54"/>
      <c r="D99" s="60">
        <v>2273.2189460248896</v>
      </c>
      <c r="F99" s="61">
        <f t="shared" si="18"/>
        <v>464.3</v>
      </c>
      <c r="G99" s="61">
        <f t="shared" si="19"/>
        <v>376.9</v>
      </c>
      <c r="H99" s="61">
        <f t="shared" si="17"/>
        <v>841.2</v>
      </c>
      <c r="J99" s="61">
        <f t="shared" si="20"/>
        <v>480.58</v>
      </c>
      <c r="K99" s="61">
        <f t="shared" si="21"/>
        <v>376.9</v>
      </c>
      <c r="L99" s="61">
        <f t="shared" si="22"/>
        <v>857.48</v>
      </c>
      <c r="M99" s="86"/>
      <c r="N99" s="61">
        <f t="shared" si="23"/>
        <v>16.279999999999973</v>
      </c>
      <c r="O99" s="62">
        <f t="shared" si="24"/>
        <v>1.935330480266283E-2</v>
      </c>
    </row>
    <row r="100" spans="2:15" ht="15.75" x14ac:dyDescent="0.25">
      <c r="B100" s="54">
        <f>IF(D100&lt;&gt;"",COUNTA($D$68:D100),"")</f>
        <v>32</v>
      </c>
      <c r="C100" s="54" t="s">
        <v>47</v>
      </c>
      <c r="D100" s="60">
        <v>602.4030206965956</v>
      </c>
      <c r="F100" s="61">
        <f t="shared" si="18"/>
        <v>130.38999999999999</v>
      </c>
      <c r="G100" s="61">
        <f t="shared" si="19"/>
        <v>99.88</v>
      </c>
      <c r="H100" s="61">
        <f t="shared" si="17"/>
        <v>230.26999999999998</v>
      </c>
      <c r="J100" s="61">
        <f t="shared" si="20"/>
        <v>134.69999999999999</v>
      </c>
      <c r="K100" s="61">
        <f t="shared" si="21"/>
        <v>99.88</v>
      </c>
      <c r="L100" s="61">
        <f t="shared" si="22"/>
        <v>234.57999999999998</v>
      </c>
      <c r="M100" s="86"/>
      <c r="N100" s="61">
        <f t="shared" si="23"/>
        <v>4.3100000000000023</v>
      </c>
      <c r="O100" s="62">
        <f t="shared" si="24"/>
        <v>1.8717158118730197E-2</v>
      </c>
    </row>
    <row r="101" spans="2:15" ht="15.75" x14ac:dyDescent="0.25">
      <c r="B101" s="54" t="str">
        <f>IF(D101&lt;&gt;"",COUNTA($D$68:D101),"")</f>
        <v/>
      </c>
      <c r="L101" s="86"/>
      <c r="M101" s="86"/>
      <c r="N101" s="86"/>
    </row>
    <row r="102" spans="2:15" ht="15.75" x14ac:dyDescent="0.25">
      <c r="B102" s="54">
        <f>IF(D102&lt;&gt;"",COUNTA($D$68:D102),"")</f>
        <v>33</v>
      </c>
      <c r="D102" s="46" t="s">
        <v>27</v>
      </c>
      <c r="G102" s="89" t="str">
        <f>$G$28</f>
        <v>2026 In Effect</v>
      </c>
      <c r="H102" s="89" t="str">
        <f>$H$28</f>
        <v>2027 Proposed</v>
      </c>
      <c r="J102" s="75"/>
      <c r="L102" s="86"/>
      <c r="M102" s="86"/>
      <c r="N102" s="86"/>
    </row>
    <row r="103" spans="2:15" ht="15.75" x14ac:dyDescent="0.25">
      <c r="B103" s="54">
        <f>IF(D103&lt;&gt;"",COUNTA($D$68:D103),"")</f>
        <v>34</v>
      </c>
      <c r="D103" s="46" t="s">
        <v>27</v>
      </c>
      <c r="G103" s="78" t="s">
        <v>48</v>
      </c>
      <c r="H103" s="78" t="s">
        <v>48</v>
      </c>
      <c r="J103" s="78" t="s">
        <v>46</v>
      </c>
      <c r="L103" s="86"/>
      <c r="M103" s="86"/>
      <c r="N103" s="86"/>
    </row>
    <row r="104" spans="2:15" ht="15.75" x14ac:dyDescent="0.25">
      <c r="B104" s="54">
        <f>IF(D104&lt;&gt;"",COUNTA($D$68:D104),"")</f>
        <v>35</v>
      </c>
      <c r="D104" s="51" t="s">
        <v>49</v>
      </c>
      <c r="G104" s="81">
        <v>10</v>
      </c>
      <c r="H104" s="81">
        <v>10</v>
      </c>
      <c r="J104" s="85">
        <f t="shared" ref="J104:J134" si="25">+H104-G104</f>
        <v>0</v>
      </c>
      <c r="L104" s="86"/>
      <c r="M104" s="86"/>
      <c r="N104" s="86"/>
    </row>
    <row r="105" spans="2:15" ht="15.75" x14ac:dyDescent="0.25">
      <c r="B105" s="54">
        <f>IF(D105&lt;&gt;"",COUNTA($D$68:D105),"")</f>
        <v>36</v>
      </c>
      <c r="D105" s="51" t="s">
        <v>83</v>
      </c>
      <c r="G105" s="85">
        <v>2.052E-2</v>
      </c>
      <c r="H105" s="85">
        <v>2.052E-2</v>
      </c>
      <c r="J105" s="85">
        <f t="shared" si="25"/>
        <v>0</v>
      </c>
      <c r="L105" s="86"/>
      <c r="M105" s="86"/>
      <c r="N105" s="86"/>
    </row>
    <row r="106" spans="2:15" ht="15.75" x14ac:dyDescent="0.25">
      <c r="B106" s="54">
        <f>IF(D106&lt;&gt;"",COUNTA($D$68:D106),"")</f>
        <v>37</v>
      </c>
      <c r="D106" s="51" t="s">
        <v>84</v>
      </c>
      <c r="G106" s="85">
        <v>6.6030000000000005E-2</v>
      </c>
      <c r="H106" s="85">
        <v>6.6030000000000005E-2</v>
      </c>
      <c r="J106" s="85">
        <f t="shared" si="25"/>
        <v>0</v>
      </c>
      <c r="L106" s="86"/>
      <c r="M106" s="86"/>
      <c r="N106" s="86"/>
    </row>
    <row r="107" spans="2:15" ht="15.75" x14ac:dyDescent="0.25">
      <c r="B107" s="54">
        <f>IF(D107&lt;&gt;"",COUNTA($D$68:D107),"")</f>
        <v>38</v>
      </c>
      <c r="D107" s="51" t="s">
        <v>51</v>
      </c>
      <c r="G107" s="85">
        <v>-1.0000000000000001E-5</v>
      </c>
      <c r="H107" s="85">
        <v>-1.0000000000000001E-5</v>
      </c>
      <c r="J107" s="85">
        <f t="shared" si="25"/>
        <v>0</v>
      </c>
      <c r="L107" s="86"/>
      <c r="M107" s="86"/>
      <c r="N107" s="86"/>
    </row>
    <row r="108" spans="2:15" ht="15.75" x14ac:dyDescent="0.25">
      <c r="B108" s="54">
        <f>IF(D108&lt;&gt;"",COUNTA($D$68:D108),"")</f>
        <v>39</v>
      </c>
      <c r="D108" s="51" t="s">
        <v>52</v>
      </c>
      <c r="G108" s="85">
        <v>4.4299999999999999E-3</v>
      </c>
      <c r="H108" s="85">
        <v>4.4299999999999999E-3</v>
      </c>
      <c r="J108" s="85">
        <f t="shared" si="25"/>
        <v>0</v>
      </c>
      <c r="L108" s="86"/>
      <c r="M108" s="86"/>
      <c r="N108" s="86"/>
    </row>
    <row r="109" spans="2:15" ht="15.75" x14ac:dyDescent="0.25">
      <c r="B109" s="54">
        <f>IF(D109&lt;&gt;"",COUNTA($D$68:D109),"")</f>
        <v>40</v>
      </c>
      <c r="D109" s="51" t="s">
        <v>53</v>
      </c>
      <c r="G109" s="85">
        <v>5.8300000000000001E-3</v>
      </c>
      <c r="H109" s="85">
        <v>5.8300000000000001E-3</v>
      </c>
      <c r="J109" s="85">
        <f t="shared" si="25"/>
        <v>0</v>
      </c>
      <c r="L109" s="86"/>
      <c r="M109" s="86"/>
      <c r="N109" s="86"/>
    </row>
    <row r="110" spans="2:15" ht="15.75" x14ac:dyDescent="0.25">
      <c r="B110" s="54">
        <f>IF(D110&lt;&gt;"",COUNTA($D$68:D110),"")</f>
        <v>41</v>
      </c>
      <c r="D110" s="51" t="s">
        <v>54</v>
      </c>
      <c r="G110" s="85">
        <v>1.0330000000000001E-2</v>
      </c>
      <c r="H110" s="85">
        <v>1.0330000000000001E-2</v>
      </c>
      <c r="J110" s="85">
        <f t="shared" si="25"/>
        <v>0</v>
      </c>
      <c r="L110" s="86"/>
      <c r="M110" s="86"/>
      <c r="N110" s="86"/>
    </row>
    <row r="111" spans="2:15" ht="15.75" x14ac:dyDescent="0.25">
      <c r="B111" s="54">
        <f>IF(D111&lt;&gt;"",COUNTA($D$68:D111),"")</f>
        <v>42</v>
      </c>
      <c r="D111" s="51" t="s">
        <v>55</v>
      </c>
      <c r="G111" s="85">
        <v>1.3799999999999999E-3</v>
      </c>
      <c r="H111" s="85">
        <v>1.3799999999999999E-3</v>
      </c>
      <c r="J111" s="85">
        <f t="shared" si="25"/>
        <v>0</v>
      </c>
      <c r="L111" s="86"/>
      <c r="M111" s="86"/>
      <c r="N111" s="86"/>
    </row>
    <row r="112" spans="2:15" ht="15.75" x14ac:dyDescent="0.25">
      <c r="B112" s="54">
        <f>IF(D112&lt;&gt;"",COUNTA($D$68:D112),"")</f>
        <v>43</v>
      </c>
      <c r="D112" s="51" t="s">
        <v>56</v>
      </c>
      <c r="G112" s="85">
        <v>6.2500000000000003E-3</v>
      </c>
      <c r="H112" s="85">
        <v>6.2500000000000003E-3</v>
      </c>
      <c r="J112" s="85">
        <f t="shared" si="25"/>
        <v>0</v>
      </c>
      <c r="L112" s="86"/>
      <c r="M112" s="86"/>
      <c r="N112" s="86"/>
    </row>
    <row r="113" spans="2:14" ht="15.75" x14ac:dyDescent="0.25">
      <c r="B113" s="54">
        <f>IF(D113&lt;&gt;"",COUNTA($D$68:D113),"")</f>
        <v>44</v>
      </c>
      <c r="D113" s="51" t="s">
        <v>57</v>
      </c>
      <c r="G113" s="85">
        <v>-3.6999999999999999E-4</v>
      </c>
      <c r="H113" s="85">
        <v>-3.6999999999999999E-4</v>
      </c>
      <c r="J113" s="85">
        <f t="shared" si="25"/>
        <v>0</v>
      </c>
      <c r="L113" s="86"/>
      <c r="M113" s="86"/>
      <c r="N113" s="86"/>
    </row>
    <row r="114" spans="2:14" ht="15.75" x14ac:dyDescent="0.25">
      <c r="B114" s="54">
        <f>IF(D114&lt;&gt;"",COUNTA($D$68:D114),"")</f>
        <v>45</v>
      </c>
      <c r="D114" s="51" t="s">
        <v>58</v>
      </c>
      <c r="G114" s="85">
        <v>3.0000000000000001E-5</v>
      </c>
      <c r="H114" s="85">
        <v>3.0000000000000001E-5</v>
      </c>
      <c r="J114" s="85">
        <f t="shared" si="25"/>
        <v>0</v>
      </c>
      <c r="L114" s="86"/>
      <c r="M114" s="86"/>
      <c r="N114" s="86"/>
    </row>
    <row r="115" spans="2:14" ht="15.75" x14ac:dyDescent="0.25">
      <c r="B115" s="54">
        <f>IF(D115&lt;&gt;"",COUNTA($D$68:D115),"")</f>
        <v>46</v>
      </c>
      <c r="D115" s="51" t="s">
        <v>59</v>
      </c>
      <c r="G115" s="85">
        <v>9.5999999999999992E-3</v>
      </c>
      <c r="H115" s="85">
        <v>9.5999999999999992E-3</v>
      </c>
      <c r="J115" s="85">
        <f t="shared" si="25"/>
        <v>0</v>
      </c>
      <c r="L115" s="86"/>
      <c r="M115" s="86"/>
      <c r="N115" s="86"/>
    </row>
    <row r="116" spans="2:14" ht="15.75" x14ac:dyDescent="0.25">
      <c r="B116" s="54">
        <f>IF(D116&lt;&gt;"",COUNTA($D$68:D116),"")</f>
        <v>47</v>
      </c>
      <c r="D116" s="51" t="s">
        <v>60</v>
      </c>
      <c r="G116" s="85">
        <v>0</v>
      </c>
      <c r="H116" s="85">
        <v>0</v>
      </c>
      <c r="J116" s="85">
        <f t="shared" si="25"/>
        <v>0</v>
      </c>
      <c r="L116" s="86"/>
      <c r="M116" s="86"/>
      <c r="N116" s="86"/>
    </row>
    <row r="117" spans="2:14" ht="15.75" x14ac:dyDescent="0.25">
      <c r="B117" s="54">
        <f>IF(D117&lt;&gt;"",COUNTA($D$68:D117),"")</f>
        <v>48</v>
      </c>
      <c r="D117" s="51" t="s">
        <v>61</v>
      </c>
      <c r="G117" s="85">
        <v>-7.1000000000000002E-4</v>
      </c>
      <c r="H117" s="85">
        <v>-7.1000000000000002E-4</v>
      </c>
      <c r="J117" s="85">
        <f t="shared" si="25"/>
        <v>0</v>
      </c>
      <c r="L117" s="86"/>
      <c r="M117" s="86"/>
      <c r="N117" s="86"/>
    </row>
    <row r="118" spans="2:14" ht="15.75" x14ac:dyDescent="0.25">
      <c r="B118" s="54">
        <f>IF(D118&lt;&gt;"",COUNTA($D$68:D118),"")</f>
        <v>49</v>
      </c>
      <c r="D118" s="51" t="s">
        <v>62</v>
      </c>
      <c r="G118" s="85">
        <v>1.8000000000000001E-4</v>
      </c>
      <c r="H118" s="85">
        <v>1.8000000000000001E-4</v>
      </c>
      <c r="J118" s="85">
        <f t="shared" si="25"/>
        <v>0</v>
      </c>
      <c r="L118" s="86"/>
      <c r="M118" s="86"/>
      <c r="N118" s="86"/>
    </row>
    <row r="119" spans="2:14" ht="15.75" x14ac:dyDescent="0.25">
      <c r="B119" s="54">
        <f>IF(D119&lt;&gt;"",COUNTA($D$68:D119),"")</f>
        <v>50</v>
      </c>
      <c r="D119" s="51" t="s">
        <v>63</v>
      </c>
      <c r="G119" s="85">
        <v>-3.1E-4</v>
      </c>
      <c r="H119" s="85">
        <v>-3.1E-4</v>
      </c>
      <c r="J119" s="85">
        <f t="shared" si="25"/>
        <v>0</v>
      </c>
      <c r="L119" s="86"/>
      <c r="M119" s="86"/>
      <c r="N119" s="86"/>
    </row>
    <row r="120" spans="2:14" ht="15.75" x14ac:dyDescent="0.25">
      <c r="B120" s="54">
        <f>IF(D120&lt;&gt;"",COUNTA($D$68:D120),"")</f>
        <v>51</v>
      </c>
      <c r="D120" s="51" t="s">
        <v>64</v>
      </c>
      <c r="G120" s="85">
        <v>1.39E-3</v>
      </c>
      <c r="H120" s="85">
        <v>1.39E-3</v>
      </c>
      <c r="J120" s="85">
        <f t="shared" si="25"/>
        <v>0</v>
      </c>
      <c r="L120" s="86"/>
      <c r="M120" s="86"/>
      <c r="N120" s="86"/>
    </row>
    <row r="121" spans="2:14" ht="15.75" x14ac:dyDescent="0.25">
      <c r="B121" s="54">
        <f>IF(D121&lt;&gt;"",COUNTA($D$68:D121),"")</f>
        <v>52</v>
      </c>
      <c r="D121" s="51" t="s">
        <v>65</v>
      </c>
      <c r="G121" s="85">
        <v>-9.2000000000000003E-4</v>
      </c>
      <c r="H121" s="85">
        <v>-9.2000000000000003E-4</v>
      </c>
      <c r="J121" s="85">
        <f t="shared" si="25"/>
        <v>0</v>
      </c>
      <c r="L121" s="86"/>
      <c r="M121" s="86"/>
      <c r="N121" s="86"/>
    </row>
    <row r="122" spans="2:14" ht="15.75" x14ac:dyDescent="0.25">
      <c r="B122" s="54">
        <f>IF(D122&lt;&gt;"",COUNTA($D$68:D122),"")</f>
        <v>53</v>
      </c>
      <c r="D122" s="51" t="s">
        <v>66</v>
      </c>
      <c r="G122" s="85">
        <v>2.8E-3</v>
      </c>
      <c r="H122" s="85">
        <v>2.8E-3</v>
      </c>
      <c r="J122" s="85">
        <f t="shared" si="25"/>
        <v>0</v>
      </c>
      <c r="L122" s="86"/>
      <c r="M122" s="86"/>
      <c r="N122" s="86"/>
    </row>
    <row r="123" spans="2:14" ht="15.75" x14ac:dyDescent="0.25">
      <c r="B123" s="54">
        <f>IF(D123&lt;&gt;"",COUNTA($D$68:D123),"")</f>
        <v>54</v>
      </c>
      <c r="D123" s="51" t="s">
        <v>67</v>
      </c>
      <c r="G123" s="85">
        <v>8.7899999999999992E-3</v>
      </c>
      <c r="H123" s="85">
        <v>8.7899999999999992E-3</v>
      </c>
      <c r="J123" s="85">
        <f t="shared" si="25"/>
        <v>0</v>
      </c>
      <c r="L123" s="86"/>
      <c r="M123" s="86"/>
      <c r="N123" s="86"/>
    </row>
    <row r="124" spans="2:14" ht="15.75" x14ac:dyDescent="0.25">
      <c r="B124" s="54">
        <f>IF(D124&lt;&gt;"",COUNTA($D$68:D124),"")</f>
        <v>55</v>
      </c>
      <c r="D124" s="51" t="s">
        <v>68</v>
      </c>
      <c r="G124" s="85">
        <v>1.6000000000000001E-4</v>
      </c>
      <c r="H124" s="85">
        <v>1.6000000000000001E-4</v>
      </c>
      <c r="J124" s="85">
        <f t="shared" si="25"/>
        <v>0</v>
      </c>
      <c r="L124" s="86"/>
      <c r="M124" s="86"/>
      <c r="N124" s="86"/>
    </row>
    <row r="125" spans="2:14" ht="15.75" x14ac:dyDescent="0.25">
      <c r="B125" s="54">
        <f>IF(D125&lt;&gt;"",COUNTA($D$68:D125),"")</f>
        <v>56</v>
      </c>
      <c r="D125" s="51" t="s">
        <v>69</v>
      </c>
      <c r="G125" s="85">
        <v>8.0000000000000007E-5</v>
      </c>
      <c r="H125" s="85">
        <v>8.0000000000000007E-5</v>
      </c>
      <c r="J125" s="85">
        <f t="shared" si="25"/>
        <v>0</v>
      </c>
      <c r="L125" s="86"/>
      <c r="M125" s="86"/>
      <c r="N125" s="86"/>
    </row>
    <row r="126" spans="2:14" ht="15.75" x14ac:dyDescent="0.25">
      <c r="B126" s="54">
        <f>IF(D126&lt;&gt;"",COUNTA($D$68:D126),"")</f>
        <v>57</v>
      </c>
      <c r="D126" s="51" t="s">
        <v>70</v>
      </c>
      <c r="G126" s="85">
        <v>1.0000000000000001E-5</v>
      </c>
      <c r="H126" s="85">
        <v>1.0000000000000001E-5</v>
      </c>
      <c r="J126" s="85">
        <f t="shared" si="25"/>
        <v>0</v>
      </c>
      <c r="L126" s="86"/>
      <c r="M126" s="86"/>
      <c r="N126" s="86"/>
    </row>
    <row r="127" spans="2:14" ht="15.75" x14ac:dyDescent="0.25">
      <c r="B127" s="54">
        <f>IF(D127&lt;&gt;"",COUNTA($D$68:D127),"")</f>
        <v>58</v>
      </c>
      <c r="D127" s="51" t="s">
        <v>71</v>
      </c>
      <c r="G127" s="85">
        <v>1.0399999999999999E-3</v>
      </c>
      <c r="H127" s="85">
        <v>1.0399999999999999E-3</v>
      </c>
      <c r="J127" s="85">
        <f t="shared" si="25"/>
        <v>0</v>
      </c>
      <c r="L127" s="86"/>
      <c r="M127" s="86"/>
      <c r="N127" s="86"/>
    </row>
    <row r="128" spans="2:14" ht="15.75" x14ac:dyDescent="0.25">
      <c r="B128" s="54">
        <f>IF(D128&lt;&gt;"",COUNTA($D$68:D128),"")</f>
        <v>59</v>
      </c>
      <c r="D128" s="51" t="s">
        <v>72</v>
      </c>
      <c r="G128" s="85">
        <v>-7.6999999999999996E-4</v>
      </c>
      <c r="H128" s="85">
        <v>-7.6999999999999996E-4</v>
      </c>
      <c r="J128" s="85">
        <f t="shared" si="25"/>
        <v>0</v>
      </c>
      <c r="L128" s="86"/>
      <c r="M128" s="86"/>
      <c r="N128" s="86"/>
    </row>
    <row r="129" spans="2:15" ht="15.75" x14ac:dyDescent="0.25">
      <c r="B129" s="54">
        <f>IF(D129&lt;&gt;"",COUNTA($D$68:D129),"")</f>
        <v>60</v>
      </c>
      <c r="D129" s="51" t="s">
        <v>85</v>
      </c>
      <c r="G129" s="85">
        <v>1.4919999999999999E-2</v>
      </c>
      <c r="H129" s="85">
        <v>1.4919999999999999E-2</v>
      </c>
      <c r="J129" s="85">
        <f t="shared" si="25"/>
        <v>0</v>
      </c>
      <c r="L129" s="86"/>
      <c r="M129" s="86"/>
      <c r="N129" s="86"/>
    </row>
    <row r="130" spans="2:15" ht="15.75" x14ac:dyDescent="0.25">
      <c r="B130" s="54">
        <f>IF(D130&lt;&gt;"",COUNTA($D$68:D130),"")</f>
        <v>61</v>
      </c>
      <c r="D130" s="51" t="s">
        <v>86</v>
      </c>
      <c r="G130" s="85">
        <v>4.6730000000000001E-2</v>
      </c>
      <c r="H130" s="85">
        <v>4.6730000000000001E-2</v>
      </c>
      <c r="J130" s="85">
        <f t="shared" si="25"/>
        <v>0</v>
      </c>
      <c r="L130" s="86"/>
      <c r="M130" s="86"/>
      <c r="N130" s="86"/>
    </row>
    <row r="131" spans="2:15" ht="15.75" x14ac:dyDescent="0.25">
      <c r="B131" s="54">
        <f>IF(D131&lt;&gt;"",COUNTA($D$68:D131),"")</f>
        <v>62</v>
      </c>
      <c r="D131" s="51" t="s">
        <v>74</v>
      </c>
      <c r="G131" s="85">
        <v>3.4880000000000001E-2</v>
      </c>
      <c r="H131" s="85">
        <v>4.2039999999999994E-2</v>
      </c>
      <c r="J131" s="85">
        <f t="shared" si="25"/>
        <v>7.1599999999999928E-3</v>
      </c>
      <c r="L131" s="86"/>
      <c r="M131" s="86"/>
      <c r="N131" s="86"/>
    </row>
    <row r="132" spans="2:15" ht="15.75" x14ac:dyDescent="0.25">
      <c r="B132" s="54">
        <f>IF(D132&lt;&gt;"",COUNTA($D$68:D132),"")</f>
        <v>63</v>
      </c>
      <c r="D132" s="51" t="s">
        <v>75</v>
      </c>
      <c r="G132" s="85">
        <v>2.5000000000000001E-3</v>
      </c>
      <c r="H132" s="85">
        <v>2.5000000000000001E-3</v>
      </c>
      <c r="J132" s="85">
        <f t="shared" si="25"/>
        <v>0</v>
      </c>
      <c r="L132" s="86"/>
      <c r="M132" s="86"/>
      <c r="N132" s="86"/>
    </row>
    <row r="133" spans="2:15" ht="15.75" x14ac:dyDescent="0.25">
      <c r="B133" s="54">
        <f>IF(D133&lt;&gt;"",COUNTA($D$68:D133),"")</f>
        <v>64</v>
      </c>
      <c r="D133" s="51" t="s">
        <v>76</v>
      </c>
      <c r="G133" s="85">
        <v>5.0000000000000001E-4</v>
      </c>
      <c r="H133" s="85">
        <v>5.0000000000000001E-4</v>
      </c>
      <c r="J133" s="85">
        <f t="shared" si="25"/>
        <v>0</v>
      </c>
      <c r="L133"/>
      <c r="M133"/>
      <c r="N133"/>
    </row>
    <row r="134" spans="2:15" ht="15.75" x14ac:dyDescent="0.25">
      <c r="B134" s="54">
        <f>IF(D134&lt;&gt;"",COUNTA($D$68:D134),"")</f>
        <v>65</v>
      </c>
      <c r="D134" s="51" t="s">
        <v>77</v>
      </c>
      <c r="G134" s="85">
        <v>0.1658</v>
      </c>
      <c r="H134" s="85">
        <v>0.1658</v>
      </c>
      <c r="J134" s="85">
        <f t="shared" si="25"/>
        <v>0</v>
      </c>
      <c r="L134"/>
      <c r="M134"/>
      <c r="N134"/>
    </row>
    <row r="135" spans="2:15" ht="15.75" x14ac:dyDescent="0.25">
      <c r="L135" s="86"/>
      <c r="M135" s="86"/>
      <c r="N135" s="86"/>
    </row>
    <row r="136" spans="2:15" ht="15.75" x14ac:dyDescent="0.25">
      <c r="L136" s="86"/>
      <c r="M136" s="86"/>
      <c r="N136" s="86"/>
    </row>
    <row r="137" spans="2:15" x14ac:dyDescent="0.2">
      <c r="B137" s="90" t="str">
        <f>$B$3</f>
        <v>Cape Light Compact JPE</v>
      </c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</row>
    <row r="138" spans="2:15" x14ac:dyDescent="0.2">
      <c r="B138" s="90" t="str">
        <f>$B$4</f>
        <v>Calculation of Monthly Typical Bill</v>
      </c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</row>
    <row r="139" spans="2:15" x14ac:dyDescent="0.2">
      <c r="B139" s="90" t="str">
        <f>$B$5</f>
        <v>Proposed January 1, 2027</v>
      </c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</row>
    <row r="140" spans="2:15" ht="15.75" x14ac:dyDescent="0.25"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</row>
    <row r="141" spans="2:15" ht="15.75" x14ac:dyDescent="0.25">
      <c r="B141" s="92" t="s">
        <v>16</v>
      </c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</row>
    <row r="142" spans="2:15" ht="15.75" x14ac:dyDescent="0.25">
      <c r="B142" s="50"/>
      <c r="C142" s="50"/>
      <c r="D142" s="51"/>
      <c r="E142" s="51"/>
      <c r="F142" s="51"/>
      <c r="G142" s="52"/>
      <c r="H142" s="51"/>
      <c r="I142"/>
      <c r="J142"/>
      <c r="K142"/>
      <c r="L142"/>
      <c r="M142"/>
      <c r="N142"/>
    </row>
    <row r="143" spans="2:15" ht="15.75" x14ac:dyDescent="0.25">
      <c r="B143" s="50"/>
      <c r="C143" s="50"/>
      <c r="D143" s="51"/>
      <c r="E143" s="51"/>
      <c r="F143" s="51"/>
      <c r="G143" s="53"/>
      <c r="H143" s="51"/>
      <c r="I143"/>
      <c r="J143"/>
      <c r="K143"/>
      <c r="L143"/>
      <c r="M143"/>
      <c r="N143"/>
    </row>
    <row r="144" spans="2:15" ht="15.75" x14ac:dyDescent="0.25">
      <c r="B144" s="54">
        <f>IF(D144&lt;&gt;"",COUNTA($D$144:D144),"")</f>
        <v>1</v>
      </c>
      <c r="C144" s="54"/>
      <c r="D144" s="50" t="s">
        <v>40</v>
      </c>
      <c r="E144" s="50"/>
      <c r="F144" s="56" t="str">
        <f>$F$10</f>
        <v>2026 In Effect</v>
      </c>
      <c r="G144" s="56"/>
      <c r="H144" s="56"/>
      <c r="I144" s="51"/>
      <c r="J144" s="56" t="str">
        <f>$J$10</f>
        <v>2027 Proposed</v>
      </c>
      <c r="K144" s="57"/>
      <c r="L144" s="57"/>
      <c r="M144"/>
      <c r="N144" s="57" t="str">
        <f>$N$10</f>
        <v>Total Bill Impact</v>
      </c>
      <c r="O144" s="57"/>
    </row>
    <row r="145" spans="2:15" ht="15.75" x14ac:dyDescent="0.25">
      <c r="B145" s="54">
        <f>IF(D145&lt;&gt;"",COUNTA($D$144:D145),"")</f>
        <v>2</v>
      </c>
      <c r="C145" s="54"/>
      <c r="D145" s="58" t="s">
        <v>42</v>
      </c>
      <c r="E145" s="58"/>
      <c r="F145" s="58" t="str">
        <f>F$11</f>
        <v>Delivery</v>
      </c>
      <c r="G145" s="58" t="str">
        <f>G$11</f>
        <v>Supplier</v>
      </c>
      <c r="H145" s="58" t="str">
        <f>H$11</f>
        <v>Total</v>
      </c>
      <c r="I145" s="51"/>
      <c r="J145" s="58" t="str">
        <f>J$11</f>
        <v>Delivery</v>
      </c>
      <c r="K145" s="58" t="str">
        <f>K$11</f>
        <v>Supplier</v>
      </c>
      <c r="L145" s="58" t="str">
        <f>L$11</f>
        <v>Total</v>
      </c>
      <c r="M145"/>
      <c r="N145" s="58" t="str">
        <f>N$11</f>
        <v>Change</v>
      </c>
      <c r="O145" s="58" t="str">
        <f>O$11</f>
        <v>% Change</v>
      </c>
    </row>
    <row r="146" spans="2:15" x14ac:dyDescent="0.2">
      <c r="B146" s="54">
        <f>IF(D146&lt;&gt;"",COUNTA($D$144:D146),"")</f>
        <v>3</v>
      </c>
      <c r="C146" s="54"/>
      <c r="D146" s="60">
        <v>100</v>
      </c>
      <c r="E146" s="60"/>
      <c r="F146" s="61">
        <f t="shared" ref="F146:F159" si="26">ROUND(($D146*SUM($G$165:$G$191)+$G$164)*(1-$G$193),2)</f>
        <v>17.45</v>
      </c>
      <c r="G146" s="61">
        <f t="shared" ref="G146:G159" si="27">ROUND((G$192*$D146)*(1-G$193),2)</f>
        <v>9.6199999999999992</v>
      </c>
      <c r="H146" s="61">
        <f t="shared" ref="H146:H159" si="28">SUM(F146:G146)</f>
        <v>27.07</v>
      </c>
      <c r="I146" s="66"/>
      <c r="J146" s="61">
        <f t="shared" ref="J146:J159" si="29">ROUND(($D146*SUM($H$165:$H$191)+$H$164)*(1-$H$193),2)</f>
        <v>17.86</v>
      </c>
      <c r="K146" s="61">
        <f t="shared" ref="K146:K159" si="30">ROUND((H$192*$D146)*(1-H$193),2)</f>
        <v>9.6199999999999992</v>
      </c>
      <c r="L146" s="61">
        <f t="shared" ref="L146:L159" si="31">SUM(J146:K146)</f>
        <v>27.479999999999997</v>
      </c>
      <c r="M146" s="66"/>
      <c r="N146" s="61">
        <f t="shared" ref="N146:N159" si="32">+L146-H146</f>
        <v>0.40999999999999659</v>
      </c>
      <c r="O146" s="62">
        <f t="shared" ref="O146:O159" si="33">+N146/H146</f>
        <v>1.5145917990395146E-2</v>
      </c>
    </row>
    <row r="147" spans="2:15" x14ac:dyDescent="0.2">
      <c r="B147" s="54">
        <f>IF(D147&lt;&gt;"",COUNTA($D$144:D147),"")</f>
        <v>4</v>
      </c>
      <c r="C147" s="54"/>
      <c r="D147" s="60">
        <v>200</v>
      </c>
      <c r="E147" s="60"/>
      <c r="F147" s="61">
        <f t="shared" si="26"/>
        <v>29.09</v>
      </c>
      <c r="G147" s="61">
        <f t="shared" si="27"/>
        <v>19.23</v>
      </c>
      <c r="H147" s="61">
        <f t="shared" si="28"/>
        <v>48.32</v>
      </c>
      <c r="I147" s="66"/>
      <c r="J147" s="61">
        <f t="shared" si="29"/>
        <v>29.92</v>
      </c>
      <c r="K147" s="61">
        <f t="shared" si="30"/>
        <v>19.23</v>
      </c>
      <c r="L147" s="61">
        <f t="shared" si="31"/>
        <v>49.150000000000006</v>
      </c>
      <c r="M147" s="66"/>
      <c r="N147" s="61">
        <f t="shared" si="32"/>
        <v>0.8300000000000054</v>
      </c>
      <c r="O147" s="62">
        <f t="shared" si="33"/>
        <v>1.7177152317880907E-2</v>
      </c>
    </row>
    <row r="148" spans="2:15" x14ac:dyDescent="0.2">
      <c r="B148" s="54">
        <f>IF(D148&lt;&gt;"",COUNTA($D$144:D148),"")</f>
        <v>5</v>
      </c>
      <c r="C148" s="54"/>
      <c r="D148" s="60">
        <v>300</v>
      </c>
      <c r="E148" s="60"/>
      <c r="F148" s="61">
        <f t="shared" si="26"/>
        <v>40.74</v>
      </c>
      <c r="G148" s="61">
        <f t="shared" si="27"/>
        <v>28.85</v>
      </c>
      <c r="H148" s="61">
        <f t="shared" si="28"/>
        <v>69.59</v>
      </c>
      <c r="I148" s="66"/>
      <c r="J148" s="61">
        <f t="shared" si="29"/>
        <v>41.99</v>
      </c>
      <c r="K148" s="61">
        <f t="shared" si="30"/>
        <v>28.85</v>
      </c>
      <c r="L148" s="61">
        <f t="shared" si="31"/>
        <v>70.84</v>
      </c>
      <c r="M148" s="66"/>
      <c r="N148" s="61">
        <f t="shared" si="32"/>
        <v>1.25</v>
      </c>
      <c r="O148" s="62">
        <f t="shared" si="33"/>
        <v>1.7962350912487424E-2</v>
      </c>
    </row>
    <row r="149" spans="2:15" x14ac:dyDescent="0.2">
      <c r="B149" s="54">
        <f>IF(D149&lt;&gt;"",COUNTA($D$144:D149),"")</f>
        <v>6</v>
      </c>
      <c r="C149" s="54"/>
      <c r="D149" s="60">
        <v>400</v>
      </c>
      <c r="E149" s="60"/>
      <c r="F149" s="61">
        <f t="shared" si="26"/>
        <v>52.39</v>
      </c>
      <c r="G149" s="61">
        <f t="shared" si="27"/>
        <v>38.47</v>
      </c>
      <c r="H149" s="61">
        <f t="shared" si="28"/>
        <v>90.86</v>
      </c>
      <c r="I149" s="66"/>
      <c r="J149" s="61">
        <f t="shared" si="29"/>
        <v>54.05</v>
      </c>
      <c r="K149" s="61">
        <f t="shared" si="30"/>
        <v>38.47</v>
      </c>
      <c r="L149" s="61">
        <f t="shared" si="31"/>
        <v>92.52</v>
      </c>
      <c r="M149" s="66"/>
      <c r="N149" s="61">
        <f t="shared" si="32"/>
        <v>1.6599999999999966</v>
      </c>
      <c r="O149" s="62">
        <f t="shared" si="33"/>
        <v>1.8269865727492809E-2</v>
      </c>
    </row>
    <row r="150" spans="2:15" x14ac:dyDescent="0.2">
      <c r="B150" s="54">
        <f>IF(D150&lt;&gt;"",COUNTA($D$144:D150),"")</f>
        <v>7</v>
      </c>
      <c r="C150" s="54"/>
      <c r="D150" s="60">
        <v>500</v>
      </c>
      <c r="E150" s="60"/>
      <c r="F150" s="61">
        <f t="shared" si="26"/>
        <v>64.03</v>
      </c>
      <c r="G150" s="61">
        <f t="shared" si="27"/>
        <v>48.08</v>
      </c>
      <c r="H150" s="61">
        <f t="shared" si="28"/>
        <v>112.11</v>
      </c>
      <c r="I150" s="66"/>
      <c r="J150" s="61">
        <f t="shared" si="29"/>
        <v>66.11</v>
      </c>
      <c r="K150" s="61">
        <f t="shared" si="30"/>
        <v>48.08</v>
      </c>
      <c r="L150" s="61">
        <f t="shared" si="31"/>
        <v>114.19</v>
      </c>
      <c r="M150" s="66"/>
      <c r="N150" s="61">
        <f t="shared" si="32"/>
        <v>2.0799999999999983</v>
      </c>
      <c r="O150" s="62">
        <f t="shared" si="33"/>
        <v>1.8553206672018537E-2</v>
      </c>
    </row>
    <row r="151" spans="2:15" x14ac:dyDescent="0.2">
      <c r="B151" s="54">
        <f>IF(D151&lt;&gt;"",COUNTA($D$144:D151),"")</f>
        <v>8</v>
      </c>
      <c r="C151" s="54"/>
      <c r="D151" s="60">
        <v>600</v>
      </c>
      <c r="E151" s="60"/>
      <c r="F151" s="61">
        <f t="shared" si="26"/>
        <v>75.680000000000007</v>
      </c>
      <c r="G151" s="61">
        <f t="shared" si="27"/>
        <v>57.7</v>
      </c>
      <c r="H151" s="61">
        <f t="shared" si="28"/>
        <v>133.38</v>
      </c>
      <c r="I151" s="66"/>
      <c r="J151" s="61">
        <f t="shared" si="29"/>
        <v>78.17</v>
      </c>
      <c r="K151" s="61">
        <f t="shared" si="30"/>
        <v>57.7</v>
      </c>
      <c r="L151" s="61">
        <f t="shared" si="31"/>
        <v>135.87</v>
      </c>
      <c r="M151" s="66"/>
      <c r="N151" s="61">
        <f t="shared" si="32"/>
        <v>2.4900000000000091</v>
      </c>
      <c r="O151" s="62">
        <f t="shared" si="33"/>
        <v>1.8668466036887158E-2</v>
      </c>
    </row>
    <row r="152" spans="2:15" x14ac:dyDescent="0.2">
      <c r="B152" s="54">
        <f>IF(D152&lt;&gt;"",COUNTA($D$144:D152),"")</f>
        <v>9</v>
      </c>
      <c r="C152" s="54"/>
      <c r="D152" s="60">
        <v>700</v>
      </c>
      <c r="E152" s="60"/>
      <c r="F152" s="61">
        <f t="shared" si="26"/>
        <v>87.33</v>
      </c>
      <c r="G152" s="61">
        <f t="shared" si="27"/>
        <v>67.31</v>
      </c>
      <c r="H152" s="61">
        <f t="shared" si="28"/>
        <v>154.63999999999999</v>
      </c>
      <c r="I152" s="66"/>
      <c r="J152" s="61">
        <f t="shared" si="29"/>
        <v>90.24</v>
      </c>
      <c r="K152" s="61">
        <f t="shared" si="30"/>
        <v>67.31</v>
      </c>
      <c r="L152" s="61">
        <f t="shared" si="31"/>
        <v>157.55000000000001</v>
      </c>
      <c r="M152" s="66"/>
      <c r="N152" s="61">
        <f t="shared" si="32"/>
        <v>2.910000000000025</v>
      </c>
      <c r="O152" s="62">
        <f t="shared" si="33"/>
        <v>1.881789963786876E-2</v>
      </c>
    </row>
    <row r="153" spans="2:15" x14ac:dyDescent="0.2">
      <c r="B153" s="54">
        <f>IF(D153&lt;&gt;"",COUNTA($D$144:D153),"")</f>
        <v>10</v>
      </c>
      <c r="C153" s="54"/>
      <c r="D153" s="60">
        <v>800</v>
      </c>
      <c r="E153" s="60"/>
      <c r="F153" s="61">
        <f t="shared" si="26"/>
        <v>98.98</v>
      </c>
      <c r="G153" s="61">
        <f t="shared" si="27"/>
        <v>76.930000000000007</v>
      </c>
      <c r="H153" s="61">
        <f t="shared" si="28"/>
        <v>175.91000000000003</v>
      </c>
      <c r="I153" s="66"/>
      <c r="J153" s="61">
        <f t="shared" si="29"/>
        <v>102.3</v>
      </c>
      <c r="K153" s="61">
        <f t="shared" si="30"/>
        <v>76.930000000000007</v>
      </c>
      <c r="L153" s="61">
        <f t="shared" si="31"/>
        <v>179.23000000000002</v>
      </c>
      <c r="M153" s="66"/>
      <c r="N153" s="61">
        <f t="shared" si="32"/>
        <v>3.3199999999999932</v>
      </c>
      <c r="O153" s="62">
        <f t="shared" si="33"/>
        <v>1.8873287476550468E-2</v>
      </c>
    </row>
    <row r="154" spans="2:15" x14ac:dyDescent="0.2">
      <c r="B154" s="54">
        <f>IF(D154&lt;&gt;"",COUNTA($D$144:D154),"")</f>
        <v>11</v>
      </c>
      <c r="C154" s="54"/>
      <c r="D154" s="60">
        <v>900</v>
      </c>
      <c r="E154" s="60"/>
      <c r="F154" s="61">
        <f t="shared" si="26"/>
        <v>110.62</v>
      </c>
      <c r="G154" s="61">
        <f t="shared" si="27"/>
        <v>86.55</v>
      </c>
      <c r="H154" s="61">
        <f t="shared" si="28"/>
        <v>197.17000000000002</v>
      </c>
      <c r="I154" s="66"/>
      <c r="J154" s="61">
        <f t="shared" si="29"/>
        <v>114.36</v>
      </c>
      <c r="K154" s="61">
        <f t="shared" si="30"/>
        <v>86.55</v>
      </c>
      <c r="L154" s="61">
        <f t="shared" si="31"/>
        <v>200.91</v>
      </c>
      <c r="M154" s="66"/>
      <c r="N154" s="61">
        <f t="shared" si="32"/>
        <v>3.7399999999999807</v>
      </c>
      <c r="O154" s="62">
        <f t="shared" si="33"/>
        <v>1.8968402901049754E-2</v>
      </c>
    </row>
    <row r="155" spans="2:15" x14ac:dyDescent="0.2">
      <c r="B155" s="54">
        <f>IF(D155&lt;&gt;"",COUNTA($D$144:D155),"")</f>
        <v>12</v>
      </c>
      <c r="C155" s="54"/>
      <c r="D155" s="60">
        <v>1000</v>
      </c>
      <c r="E155" s="60"/>
      <c r="F155" s="61">
        <f t="shared" si="26"/>
        <v>122.27</v>
      </c>
      <c r="G155" s="61">
        <f t="shared" si="27"/>
        <v>96.16</v>
      </c>
      <c r="H155" s="61">
        <f t="shared" si="28"/>
        <v>218.43</v>
      </c>
      <c r="I155" s="66"/>
      <c r="J155" s="61">
        <f t="shared" si="29"/>
        <v>126.42</v>
      </c>
      <c r="K155" s="61">
        <f t="shared" si="30"/>
        <v>96.16</v>
      </c>
      <c r="L155" s="61">
        <f t="shared" si="31"/>
        <v>222.57999999999998</v>
      </c>
      <c r="M155" s="66"/>
      <c r="N155" s="61">
        <f t="shared" si="32"/>
        <v>4.1499999999999773</v>
      </c>
      <c r="O155" s="62">
        <f t="shared" si="33"/>
        <v>1.8999221718628289E-2</v>
      </c>
    </row>
    <row r="156" spans="2:15" x14ac:dyDescent="0.2">
      <c r="B156" s="54">
        <f>IF(D156&lt;&gt;"",COUNTA($D$144:D156),"")</f>
        <v>13</v>
      </c>
      <c r="C156" s="54"/>
      <c r="D156" s="60">
        <v>1250</v>
      </c>
      <c r="E156" s="60"/>
      <c r="F156" s="61">
        <f t="shared" si="26"/>
        <v>151.38999999999999</v>
      </c>
      <c r="G156" s="61">
        <f t="shared" si="27"/>
        <v>120.21</v>
      </c>
      <c r="H156" s="61">
        <f t="shared" si="28"/>
        <v>271.59999999999997</v>
      </c>
      <c r="I156" s="66"/>
      <c r="J156" s="61">
        <f t="shared" si="29"/>
        <v>156.58000000000001</v>
      </c>
      <c r="K156" s="61">
        <f t="shared" si="30"/>
        <v>120.21</v>
      </c>
      <c r="L156" s="61">
        <f t="shared" si="31"/>
        <v>276.79000000000002</v>
      </c>
      <c r="M156" s="66"/>
      <c r="N156" s="61">
        <f t="shared" si="32"/>
        <v>5.1900000000000546</v>
      </c>
      <c r="O156" s="62">
        <f t="shared" si="33"/>
        <v>1.9108983799705652E-2</v>
      </c>
    </row>
    <row r="157" spans="2:15" x14ac:dyDescent="0.2">
      <c r="B157" s="54">
        <f>IF(D157&lt;&gt;"",COUNTA($D$144:D157),"")</f>
        <v>14</v>
      </c>
      <c r="C157" s="54"/>
      <c r="D157" s="60">
        <v>1500</v>
      </c>
      <c r="E157" s="60"/>
      <c r="F157" s="61">
        <f t="shared" si="26"/>
        <v>180.5</v>
      </c>
      <c r="G157" s="61">
        <f t="shared" si="27"/>
        <v>144.25</v>
      </c>
      <c r="H157" s="61">
        <f t="shared" si="28"/>
        <v>324.75</v>
      </c>
      <c r="I157" s="66"/>
      <c r="J157" s="61">
        <f t="shared" si="29"/>
        <v>186.73</v>
      </c>
      <c r="K157" s="61">
        <f t="shared" si="30"/>
        <v>144.25</v>
      </c>
      <c r="L157" s="61">
        <f t="shared" si="31"/>
        <v>330.98</v>
      </c>
      <c r="M157" s="66"/>
      <c r="N157" s="61">
        <f t="shared" si="32"/>
        <v>6.2300000000000182</v>
      </c>
      <c r="O157" s="62">
        <f t="shared" si="33"/>
        <v>1.9183987682833005E-2</v>
      </c>
    </row>
    <row r="158" spans="2:15" x14ac:dyDescent="0.2">
      <c r="B158" s="54">
        <f>IF(D158&lt;&gt;"",COUNTA($D$144:D158),"")</f>
        <v>15</v>
      </c>
      <c r="C158" s="54"/>
      <c r="D158" s="60">
        <v>2000</v>
      </c>
      <c r="E158" s="60"/>
      <c r="F158" s="61">
        <f t="shared" si="26"/>
        <v>238.74</v>
      </c>
      <c r="G158" s="61">
        <f t="shared" si="27"/>
        <v>192.33</v>
      </c>
      <c r="H158" s="61">
        <f t="shared" si="28"/>
        <v>431.07000000000005</v>
      </c>
      <c r="I158" s="66"/>
      <c r="J158" s="61">
        <f t="shared" si="29"/>
        <v>247.05</v>
      </c>
      <c r="K158" s="61">
        <f t="shared" si="30"/>
        <v>192.33</v>
      </c>
      <c r="L158" s="61">
        <f t="shared" si="31"/>
        <v>439.38</v>
      </c>
      <c r="M158" s="66"/>
      <c r="N158" s="61">
        <f t="shared" si="32"/>
        <v>8.3099999999999454</v>
      </c>
      <c r="O158" s="62">
        <f t="shared" si="33"/>
        <v>1.9277611524810227E-2</v>
      </c>
    </row>
    <row r="159" spans="2:15" x14ac:dyDescent="0.2">
      <c r="B159" s="54">
        <f>IF(D159&lt;&gt;"",COUNTA($D$144:D159),"")</f>
        <v>16</v>
      </c>
      <c r="C159" s="54" t="s">
        <v>47</v>
      </c>
      <c r="D159" s="60">
        <v>475</v>
      </c>
      <c r="E159" s="60"/>
      <c r="F159" s="61">
        <f t="shared" si="26"/>
        <v>61.12</v>
      </c>
      <c r="G159" s="61">
        <f t="shared" si="27"/>
        <v>45.68</v>
      </c>
      <c r="H159" s="61">
        <f t="shared" si="28"/>
        <v>106.8</v>
      </c>
      <c r="I159" s="66"/>
      <c r="J159" s="61">
        <f t="shared" si="29"/>
        <v>63.1</v>
      </c>
      <c r="K159" s="61">
        <f t="shared" si="30"/>
        <v>45.68</v>
      </c>
      <c r="L159" s="61">
        <f t="shared" si="31"/>
        <v>108.78</v>
      </c>
      <c r="M159" s="66"/>
      <c r="N159" s="61">
        <f t="shared" si="32"/>
        <v>1.980000000000004</v>
      </c>
      <c r="O159" s="62">
        <f t="shared" si="33"/>
        <v>1.8539325842696668E-2</v>
      </c>
    </row>
    <row r="160" spans="2:15" ht="15.75" x14ac:dyDescent="0.25">
      <c r="B160" s="54" t="str">
        <f>IF(D160&lt;&gt;"",COUNTA($D$144:D160),"")</f>
        <v/>
      </c>
      <c r="C160" s="54"/>
      <c r="D160" s="60"/>
      <c r="E160" s="68"/>
      <c r="F160" s="68"/>
      <c r="G160" s="68"/>
      <c r="H160" s="70"/>
      <c r="I160" s="68"/>
      <c r="J160" s="61"/>
      <c r="K160" s="61"/>
      <c r="L160" s="70"/>
      <c r="M160" s="70"/>
      <c r="N160"/>
    </row>
    <row r="161" spans="2:16" ht="15.75" x14ac:dyDescent="0.25">
      <c r="B161" s="54" t="str">
        <f>IF(D161&lt;&gt;"",COUNTA($D$144:D161),"")</f>
        <v/>
      </c>
      <c r="C161" s="54"/>
      <c r="D161" s="67"/>
      <c r="E161" s="68"/>
      <c r="F161" s="68"/>
      <c r="G161" s="68"/>
      <c r="H161" s="70"/>
      <c r="I161" s="68"/>
      <c r="J161" s="68"/>
      <c r="K161" s="68"/>
      <c r="L161" s="70"/>
      <c r="M161" s="70"/>
      <c r="N161"/>
    </row>
    <row r="162" spans="2:16" ht="15.75" x14ac:dyDescent="0.25">
      <c r="B162" s="54">
        <f>IF(D162&lt;&gt;"",COUNTA($D$144:D162),"")</f>
        <v>17</v>
      </c>
      <c r="C162" s="54"/>
      <c r="D162" s="71" t="s">
        <v>27</v>
      </c>
      <c r="E162" s="66"/>
      <c r="F162" s="66"/>
      <c r="G162" s="89" t="str">
        <f>$G$28</f>
        <v>2026 In Effect</v>
      </c>
      <c r="H162" s="89" t="str">
        <f>$H$28</f>
        <v>2027 Proposed</v>
      </c>
      <c r="J162" s="75"/>
      <c r="K162" s="66"/>
      <c r="L162" s="66"/>
      <c r="M162" s="66"/>
      <c r="N162"/>
    </row>
    <row r="163" spans="2:16" ht="15.75" x14ac:dyDescent="0.25">
      <c r="B163" s="54">
        <f>IF(D163&lt;&gt;"",COUNTA($D$144:D163),"")</f>
        <v>18</v>
      </c>
      <c r="C163" s="54"/>
      <c r="D163" s="71" t="s">
        <v>27</v>
      </c>
      <c r="E163" s="66"/>
      <c r="F163" s="66"/>
      <c r="G163" s="78" t="s">
        <v>48</v>
      </c>
      <c r="H163" s="78" t="s">
        <v>48</v>
      </c>
      <c r="J163" s="78" t="s">
        <v>46</v>
      </c>
      <c r="K163" s="66"/>
      <c r="L163" s="66"/>
      <c r="M163" s="66"/>
      <c r="N163"/>
    </row>
    <row r="164" spans="2:16" ht="15.75" x14ac:dyDescent="0.25">
      <c r="B164" s="54">
        <f>IF(D164&lt;&gt;"",COUNTA($D$144:D164),"")</f>
        <v>19</v>
      </c>
      <c r="C164" s="54"/>
      <c r="D164" s="51" t="s">
        <v>49</v>
      </c>
      <c r="E164" s="66"/>
      <c r="F164" s="66"/>
      <c r="G164" s="81">
        <v>10</v>
      </c>
      <c r="H164" s="81">
        <v>10</v>
      </c>
      <c r="J164" s="81">
        <f t="shared" ref="J164:J193" si="34">+H164-G164</f>
        <v>0</v>
      </c>
      <c r="K164" s="66"/>
      <c r="L164" s="66"/>
      <c r="M164" s="66"/>
      <c r="N164"/>
    </row>
    <row r="165" spans="2:16" ht="15.75" x14ac:dyDescent="0.25">
      <c r="B165" s="54">
        <f>IF(D165&lt;&gt;"",COUNTA($D$144:D165),"")</f>
        <v>20</v>
      </c>
      <c r="C165" s="54"/>
      <c r="D165" s="51" t="s">
        <v>50</v>
      </c>
      <c r="E165" s="66"/>
      <c r="F165" s="66"/>
      <c r="G165" s="85">
        <v>6.6030000000000005E-2</v>
      </c>
      <c r="H165" s="85">
        <v>6.6030000000000005E-2</v>
      </c>
      <c r="J165" s="85">
        <f t="shared" si="34"/>
        <v>0</v>
      </c>
      <c r="K165" s="66"/>
      <c r="L165" s="66"/>
      <c r="M165" s="66"/>
      <c r="N165"/>
    </row>
    <row r="166" spans="2:16" ht="15.75" x14ac:dyDescent="0.25">
      <c r="B166" s="54">
        <f>IF(D166&lt;&gt;"",COUNTA($D$144:D166),"")</f>
        <v>21</v>
      </c>
      <c r="C166" s="54"/>
      <c r="D166" s="51" t="s">
        <v>51</v>
      </c>
      <c r="E166" s="66"/>
      <c r="F166" s="66"/>
      <c r="G166" s="85">
        <v>-1.0000000000000001E-5</v>
      </c>
      <c r="H166" s="85">
        <v>-1.0000000000000001E-5</v>
      </c>
      <c r="J166" s="85">
        <f t="shared" si="34"/>
        <v>0</v>
      </c>
      <c r="K166" s="66"/>
      <c r="L166" s="66"/>
      <c r="M166" s="66"/>
      <c r="N166"/>
    </row>
    <row r="167" spans="2:16" ht="15.75" x14ac:dyDescent="0.25">
      <c r="B167" s="54">
        <f>IF(D167&lt;&gt;"",COUNTA($D$144:D167),"")</f>
        <v>22</v>
      </c>
      <c r="C167" s="54"/>
      <c r="D167" s="51" t="s">
        <v>52</v>
      </c>
      <c r="E167" s="66"/>
      <c r="F167" s="66"/>
      <c r="G167" s="85">
        <v>5.3899999999999998E-3</v>
      </c>
      <c r="H167" s="85">
        <v>5.3899999999999998E-3</v>
      </c>
      <c r="J167" s="85">
        <f t="shared" si="34"/>
        <v>0</v>
      </c>
      <c r="K167" s="66"/>
      <c r="L167" s="66"/>
      <c r="M167" s="66"/>
      <c r="N167"/>
    </row>
    <row r="168" spans="2:16" ht="15.75" x14ac:dyDescent="0.25">
      <c r="B168" s="54">
        <f>IF(D168&lt;&gt;"",COUNTA($D$144:D168),"")</f>
        <v>23</v>
      </c>
      <c r="C168" s="54"/>
      <c r="D168" s="88" t="s">
        <v>53</v>
      </c>
      <c r="E168" s="66"/>
      <c r="F168" s="66"/>
      <c r="G168" s="85">
        <v>5.8300000000000001E-3</v>
      </c>
      <c r="H168" s="85">
        <v>5.8300000000000001E-3</v>
      </c>
      <c r="J168" s="85">
        <f t="shared" si="34"/>
        <v>0</v>
      </c>
      <c r="K168" s="66"/>
      <c r="L168" s="66"/>
      <c r="M168" s="66"/>
      <c r="N168"/>
      <c r="P168" s="46" t="s">
        <v>27</v>
      </c>
    </row>
    <row r="169" spans="2:16" ht="15.75" x14ac:dyDescent="0.25">
      <c r="B169" s="54">
        <f>IF(D169&lt;&gt;"",COUNTA($D$144:D169),"")</f>
        <v>24</v>
      </c>
      <c r="C169" s="54"/>
      <c r="D169" s="51" t="s">
        <v>54</v>
      </c>
      <c r="E169" s="66"/>
      <c r="F169" s="66"/>
      <c r="G169" s="85">
        <v>1.0330000000000001E-2</v>
      </c>
      <c r="H169" s="85">
        <v>1.0330000000000001E-2</v>
      </c>
      <c r="J169" s="85">
        <f t="shared" si="34"/>
        <v>0</v>
      </c>
      <c r="K169" s="66"/>
      <c r="L169" s="66"/>
      <c r="M169" s="66"/>
      <c r="N169"/>
    </row>
    <row r="170" spans="2:16" ht="15.75" x14ac:dyDescent="0.25">
      <c r="B170" s="54">
        <f>IF(D170&lt;&gt;"",COUNTA($D$144:D170),"")</f>
        <v>25</v>
      </c>
      <c r="C170" s="54"/>
      <c r="D170" s="51" t="s">
        <v>55</v>
      </c>
      <c r="E170" s="66"/>
      <c r="F170" s="66"/>
      <c r="G170" s="85">
        <v>1.3799999999999999E-3</v>
      </c>
      <c r="H170" s="85">
        <v>1.3799999999999999E-3</v>
      </c>
      <c r="J170" s="85">
        <f t="shared" si="34"/>
        <v>0</v>
      </c>
      <c r="K170" s="66"/>
      <c r="L170" s="66"/>
      <c r="M170" s="66"/>
      <c r="N170"/>
    </row>
    <row r="171" spans="2:16" ht="15.75" x14ac:dyDescent="0.25">
      <c r="B171" s="54">
        <f>IF(D171&lt;&gt;"",COUNTA($D$144:D171),"")</f>
        <v>26</v>
      </c>
      <c r="C171" s="54"/>
      <c r="D171" s="51" t="s">
        <v>56</v>
      </c>
      <c r="E171" s="66"/>
      <c r="F171" s="66"/>
      <c r="G171" s="85">
        <v>6.2500000000000003E-3</v>
      </c>
      <c r="H171" s="85">
        <v>6.2500000000000003E-3</v>
      </c>
      <c r="J171" s="85">
        <f t="shared" si="34"/>
        <v>0</v>
      </c>
      <c r="K171" s="66"/>
      <c r="L171" s="66"/>
      <c r="M171" s="66"/>
      <c r="N171"/>
    </row>
    <row r="172" spans="2:16" ht="15.75" x14ac:dyDescent="0.25">
      <c r="B172" s="54">
        <f>IF(D172&lt;&gt;"",COUNTA($D$144:D172),"")</f>
        <v>27</v>
      </c>
      <c r="C172" s="54"/>
      <c r="D172" s="51" t="s">
        <v>57</v>
      </c>
      <c r="E172" s="66"/>
      <c r="F172" s="66"/>
      <c r="G172" s="85">
        <v>-3.6999999999999999E-4</v>
      </c>
      <c r="H172" s="85">
        <v>-3.6999999999999999E-4</v>
      </c>
      <c r="J172" s="85">
        <f t="shared" si="34"/>
        <v>0</v>
      </c>
      <c r="K172" s="66"/>
      <c r="L172" s="66"/>
      <c r="M172" s="66"/>
      <c r="N172"/>
    </row>
    <row r="173" spans="2:16" ht="15.75" x14ac:dyDescent="0.25">
      <c r="B173" s="54">
        <f>IF(D173&lt;&gt;"",COUNTA($D$144:D173),"")</f>
        <v>28</v>
      </c>
      <c r="C173" s="54"/>
      <c r="D173" s="51" t="s">
        <v>58</v>
      </c>
      <c r="E173" s="66"/>
      <c r="F173" s="66"/>
      <c r="G173" s="85">
        <v>3.0000000000000001E-5</v>
      </c>
      <c r="H173" s="85">
        <v>3.0000000000000001E-5</v>
      </c>
      <c r="J173" s="85">
        <f t="shared" si="34"/>
        <v>0</v>
      </c>
      <c r="K173" s="66"/>
      <c r="L173" s="66"/>
      <c r="M173" s="66"/>
      <c r="N173"/>
    </row>
    <row r="174" spans="2:16" ht="15.75" x14ac:dyDescent="0.25">
      <c r="B174" s="54">
        <f>IF(D174&lt;&gt;"",COUNTA($D$144:D174),"")</f>
        <v>29</v>
      </c>
      <c r="C174" s="54"/>
      <c r="D174" s="51" t="s">
        <v>59</v>
      </c>
      <c r="E174" s="66"/>
      <c r="F174" s="66"/>
      <c r="G174" s="85">
        <v>9.5999999999999992E-3</v>
      </c>
      <c r="H174" s="85">
        <v>9.5999999999999992E-3</v>
      </c>
      <c r="J174" s="85">
        <f t="shared" si="34"/>
        <v>0</v>
      </c>
      <c r="K174" s="66"/>
      <c r="L174" s="66"/>
      <c r="M174" s="66"/>
      <c r="N174"/>
    </row>
    <row r="175" spans="2:16" ht="15.75" x14ac:dyDescent="0.25">
      <c r="B175" s="54">
        <f>IF(D175&lt;&gt;"",COUNTA($D$144:D175),"")</f>
        <v>30</v>
      </c>
      <c r="C175" s="54"/>
      <c r="D175" s="51" t="s">
        <v>60</v>
      </c>
      <c r="E175" s="66"/>
      <c r="F175" s="66"/>
      <c r="G175" s="85">
        <v>0</v>
      </c>
      <c r="H175" s="85">
        <v>0</v>
      </c>
      <c r="J175" s="85">
        <f t="shared" si="34"/>
        <v>0</v>
      </c>
      <c r="K175" s="66"/>
      <c r="L175" s="66"/>
      <c r="M175" s="66"/>
      <c r="N175"/>
    </row>
    <row r="176" spans="2:16" ht="15.75" x14ac:dyDescent="0.25">
      <c r="B176" s="54">
        <f>IF(D176&lt;&gt;"",COUNTA($D$144:D176),"")</f>
        <v>31</v>
      </c>
      <c r="C176" s="54"/>
      <c r="D176" s="51" t="s">
        <v>61</v>
      </c>
      <c r="E176" s="66"/>
      <c r="F176" s="66"/>
      <c r="G176" s="85">
        <v>-7.1000000000000002E-4</v>
      </c>
      <c r="H176" s="85">
        <v>-7.1000000000000002E-4</v>
      </c>
      <c r="J176" s="85">
        <f t="shared" si="34"/>
        <v>0</v>
      </c>
      <c r="K176" s="66"/>
      <c r="L176" s="66"/>
      <c r="M176" s="66"/>
      <c r="N176"/>
    </row>
    <row r="177" spans="2:14" ht="15.75" x14ac:dyDescent="0.25">
      <c r="B177" s="54">
        <f>IF(D177&lt;&gt;"",COUNTA($D$144:D177),"")</f>
        <v>32</v>
      </c>
      <c r="C177" s="54"/>
      <c r="D177" s="51" t="s">
        <v>62</v>
      </c>
      <c r="E177" s="66"/>
      <c r="F177" s="66"/>
      <c r="G177" s="85">
        <v>1.8000000000000001E-4</v>
      </c>
      <c r="H177" s="85">
        <v>1.8000000000000001E-4</v>
      </c>
      <c r="J177" s="85">
        <f t="shared" si="34"/>
        <v>0</v>
      </c>
      <c r="K177" s="66"/>
      <c r="L177" s="66"/>
      <c r="M177" s="66"/>
      <c r="N177"/>
    </row>
    <row r="178" spans="2:14" ht="15.75" x14ac:dyDescent="0.25">
      <c r="B178" s="54">
        <f>IF(D178&lt;&gt;"",COUNTA($D$144:D178),"")</f>
        <v>33</v>
      </c>
      <c r="C178" s="54"/>
      <c r="D178" s="51" t="s">
        <v>63</v>
      </c>
      <c r="E178" s="66"/>
      <c r="F178" s="66"/>
      <c r="G178" s="85">
        <v>-3.1E-4</v>
      </c>
      <c r="H178" s="85">
        <v>-3.1E-4</v>
      </c>
      <c r="J178" s="85">
        <f t="shared" si="34"/>
        <v>0</v>
      </c>
      <c r="K178" s="66"/>
      <c r="L178" s="66"/>
      <c r="M178" s="66"/>
      <c r="N178"/>
    </row>
    <row r="179" spans="2:14" ht="15.75" x14ac:dyDescent="0.25">
      <c r="B179" s="54">
        <f>IF(D179&lt;&gt;"",COUNTA($D$144:D179),"")</f>
        <v>34</v>
      </c>
      <c r="C179" s="54"/>
      <c r="D179" s="51" t="s">
        <v>64</v>
      </c>
      <c r="E179" s="66"/>
      <c r="F179" s="66"/>
      <c r="G179" s="85">
        <v>1.39E-3</v>
      </c>
      <c r="H179" s="85">
        <v>1.39E-3</v>
      </c>
      <c r="J179" s="85">
        <f t="shared" si="34"/>
        <v>0</v>
      </c>
      <c r="K179" s="66"/>
      <c r="L179" s="66"/>
      <c r="M179" s="66"/>
      <c r="N179"/>
    </row>
    <row r="180" spans="2:14" ht="15.75" x14ac:dyDescent="0.25">
      <c r="B180" s="54">
        <f>IF(D180&lt;&gt;"",COUNTA($D$144:D180),"")</f>
        <v>35</v>
      </c>
      <c r="C180" s="54"/>
      <c r="D180" s="51" t="s">
        <v>65</v>
      </c>
      <c r="E180" s="66"/>
      <c r="F180" s="66"/>
      <c r="G180" s="85">
        <v>-9.2000000000000003E-4</v>
      </c>
      <c r="H180" s="85">
        <v>-9.2000000000000003E-4</v>
      </c>
      <c r="J180" s="85">
        <f t="shared" si="34"/>
        <v>0</v>
      </c>
      <c r="K180" s="66"/>
      <c r="L180" s="66"/>
      <c r="M180" s="66"/>
      <c r="N180"/>
    </row>
    <row r="181" spans="2:14" ht="15.75" x14ac:dyDescent="0.25">
      <c r="B181" s="54">
        <f>IF(D181&lt;&gt;"",COUNTA($D$144:D181),"")</f>
        <v>36</v>
      </c>
      <c r="C181" s="54"/>
      <c r="D181" s="51" t="s">
        <v>66</v>
      </c>
      <c r="E181" s="66"/>
      <c r="F181" s="66"/>
      <c r="G181" s="85">
        <v>2.8E-3</v>
      </c>
      <c r="H181" s="85">
        <v>2.8E-3</v>
      </c>
      <c r="J181" s="85">
        <f t="shared" si="34"/>
        <v>0</v>
      </c>
      <c r="K181" s="66"/>
      <c r="L181" s="66"/>
      <c r="M181" s="66"/>
      <c r="N181"/>
    </row>
    <row r="182" spans="2:14" ht="15.75" x14ac:dyDescent="0.25">
      <c r="B182" s="54">
        <f>IF(D182&lt;&gt;"",COUNTA($D$144:D182),"")</f>
        <v>37</v>
      </c>
      <c r="C182" s="54"/>
      <c r="D182" s="51" t="s">
        <v>67</v>
      </c>
      <c r="E182" s="66"/>
      <c r="F182" s="66"/>
      <c r="G182" s="85">
        <v>8.7899999999999992E-3</v>
      </c>
      <c r="H182" s="85">
        <v>8.7899999999999992E-3</v>
      </c>
      <c r="J182" s="85">
        <f>+H182-G182</f>
        <v>0</v>
      </c>
      <c r="K182" s="66"/>
      <c r="L182" s="66"/>
      <c r="M182" s="66"/>
      <c r="N182"/>
    </row>
    <row r="183" spans="2:14" ht="15.75" x14ac:dyDescent="0.25">
      <c r="B183" s="54">
        <f>IF(D183&lt;&gt;"",COUNTA($D$144:D183),"")</f>
        <v>38</v>
      </c>
      <c r="C183" s="54"/>
      <c r="D183" s="51" t="s">
        <v>68</v>
      </c>
      <c r="E183" s="66"/>
      <c r="F183" s="66"/>
      <c r="G183" s="85">
        <v>1.6000000000000001E-4</v>
      </c>
      <c r="H183" s="85">
        <v>1.6000000000000001E-4</v>
      </c>
      <c r="J183" s="85">
        <f>+H183-G183</f>
        <v>0</v>
      </c>
      <c r="K183" s="66"/>
      <c r="L183" s="66"/>
      <c r="M183" s="66"/>
      <c r="N183"/>
    </row>
    <row r="184" spans="2:14" ht="15.75" x14ac:dyDescent="0.25">
      <c r="B184" s="54">
        <f>IF(D184&lt;&gt;"",COUNTA($D$144:D184),"")</f>
        <v>39</v>
      </c>
      <c r="C184" s="54"/>
      <c r="D184" s="51" t="s">
        <v>69</v>
      </c>
      <c r="E184" s="66"/>
      <c r="F184" s="66"/>
      <c r="G184" s="85">
        <v>8.0000000000000007E-5</v>
      </c>
      <c r="H184" s="85">
        <v>8.0000000000000007E-5</v>
      </c>
      <c r="J184" s="85">
        <f>+H184-G184</f>
        <v>0</v>
      </c>
      <c r="K184" s="66"/>
      <c r="L184" s="66"/>
      <c r="M184" s="66"/>
      <c r="N184"/>
    </row>
    <row r="185" spans="2:14" ht="15.75" x14ac:dyDescent="0.25">
      <c r="B185" s="54">
        <f>IF(D185&lt;&gt;"",COUNTA($D$144:D185),"")</f>
        <v>40</v>
      </c>
      <c r="C185" s="54"/>
      <c r="D185" s="51" t="s">
        <v>70</v>
      </c>
      <c r="E185" s="66"/>
      <c r="F185" s="66"/>
      <c r="G185" s="85">
        <v>1.0000000000000001E-5</v>
      </c>
      <c r="H185" s="85">
        <v>1.0000000000000001E-5</v>
      </c>
      <c r="J185" s="85">
        <f>+H185-G185</f>
        <v>0</v>
      </c>
      <c r="K185" s="66"/>
      <c r="L185" s="66"/>
      <c r="M185" s="66"/>
      <c r="N185"/>
    </row>
    <row r="186" spans="2:14" ht="15.75" x14ac:dyDescent="0.25">
      <c r="B186" s="54">
        <f>IF(D186&lt;&gt;"",COUNTA($D$144:D186),"")</f>
        <v>41</v>
      </c>
      <c r="C186" s="54"/>
      <c r="D186" s="51" t="s">
        <v>71</v>
      </c>
      <c r="E186" s="66"/>
      <c r="F186" s="66"/>
      <c r="G186" s="85">
        <v>1.0399999999999999E-3</v>
      </c>
      <c r="H186" s="85">
        <v>1.0399999999999999E-3</v>
      </c>
      <c r="J186" s="85">
        <f>+H186-G186</f>
        <v>0</v>
      </c>
      <c r="K186" s="66"/>
      <c r="L186" s="66"/>
      <c r="M186" s="66"/>
      <c r="N186"/>
    </row>
    <row r="187" spans="2:14" ht="15.75" x14ac:dyDescent="0.25">
      <c r="B187" s="54">
        <f>IF(D187&lt;&gt;"",COUNTA($D$144:D187),"")</f>
        <v>42</v>
      </c>
      <c r="C187" s="54"/>
      <c r="D187" s="51" t="s">
        <v>72</v>
      </c>
      <c r="E187" s="66"/>
      <c r="F187" s="66"/>
      <c r="G187" s="85">
        <v>-7.6999999999999996E-4</v>
      </c>
      <c r="H187" s="85">
        <v>-7.6999999999999996E-4</v>
      </c>
      <c r="J187" s="85">
        <f t="shared" si="34"/>
        <v>0</v>
      </c>
      <c r="K187" s="66"/>
      <c r="L187" s="66"/>
      <c r="M187" s="66"/>
      <c r="N187"/>
    </row>
    <row r="188" spans="2:14" ht="15.75" x14ac:dyDescent="0.25">
      <c r="B188" s="54">
        <f>IF(D188&lt;&gt;"",COUNTA($D$144:D188),"")</f>
        <v>43</v>
      </c>
      <c r="C188" s="54"/>
      <c r="D188" s="51" t="s">
        <v>73</v>
      </c>
      <c r="E188" s="66"/>
      <c r="F188" s="66"/>
      <c r="G188" s="85">
        <v>4.6730000000000001E-2</v>
      </c>
      <c r="H188" s="85">
        <v>4.6730000000000001E-2</v>
      </c>
      <c r="J188" s="85">
        <f t="shared" si="34"/>
        <v>0</v>
      </c>
      <c r="K188" s="66"/>
      <c r="L188" s="66"/>
      <c r="M188" s="66"/>
      <c r="N188"/>
    </row>
    <row r="189" spans="2:14" ht="15.75" x14ac:dyDescent="0.25">
      <c r="B189" s="54">
        <f>IF(D189&lt;&gt;"",COUNTA($D$144:D189),"")</f>
        <v>44</v>
      </c>
      <c r="C189" s="54"/>
      <c r="D189" s="51" t="s">
        <v>74</v>
      </c>
      <c r="E189" s="66"/>
      <c r="F189" s="66"/>
      <c r="G189" s="85">
        <v>3.4880000000000001E-2</v>
      </c>
      <c r="H189" s="85">
        <v>4.2039999999999994E-2</v>
      </c>
      <c r="J189" s="85">
        <f t="shared" si="34"/>
        <v>7.1599999999999928E-3</v>
      </c>
      <c r="K189" s="66"/>
      <c r="L189" s="66"/>
      <c r="M189" s="66"/>
      <c r="N189"/>
    </row>
    <row r="190" spans="2:14" ht="15.75" x14ac:dyDescent="0.25">
      <c r="B190" s="54">
        <f>IF(D190&lt;&gt;"",COUNTA($D$144:D190),"")</f>
        <v>45</v>
      </c>
      <c r="C190" s="54"/>
      <c r="D190" s="51" t="s">
        <v>75</v>
      </c>
      <c r="E190" s="66"/>
      <c r="F190" s="66"/>
      <c r="G190" s="85">
        <v>2.5000000000000001E-3</v>
      </c>
      <c r="H190" s="85">
        <v>2.5000000000000001E-3</v>
      </c>
      <c r="J190" s="85">
        <f t="shared" si="34"/>
        <v>0</v>
      </c>
      <c r="K190" s="66"/>
      <c r="L190" s="66"/>
      <c r="M190" s="66"/>
      <c r="N190"/>
    </row>
    <row r="191" spans="2:14" ht="15.75" x14ac:dyDescent="0.25">
      <c r="B191" s="54">
        <f>IF(D191&lt;&gt;"",COUNTA($D$144:D191),"")</f>
        <v>46</v>
      </c>
      <c r="C191" s="54"/>
      <c r="D191" s="51" t="s">
        <v>76</v>
      </c>
      <c r="E191" s="66"/>
      <c r="F191" s="66"/>
      <c r="G191" s="85">
        <v>5.0000000000000001E-4</v>
      </c>
      <c r="H191" s="85">
        <v>5.0000000000000001E-4</v>
      </c>
      <c r="J191" s="85">
        <f t="shared" si="34"/>
        <v>0</v>
      </c>
      <c r="K191" s="66"/>
      <c r="L191" s="66"/>
      <c r="M191" s="66"/>
      <c r="N191"/>
    </row>
    <row r="192" spans="2:14" ht="15.75" x14ac:dyDescent="0.25">
      <c r="B192" s="54">
        <f>IF(D192&lt;&gt;"",COUNTA($D$144:D192),"")</f>
        <v>47</v>
      </c>
      <c r="C192" s="54"/>
      <c r="D192" s="84" t="s">
        <v>77</v>
      </c>
      <c r="E192" s="66"/>
      <c r="F192" s="66"/>
      <c r="G192" s="85">
        <v>0.1658</v>
      </c>
      <c r="H192" s="85">
        <v>0.1658</v>
      </c>
      <c r="J192" s="85">
        <f t="shared" si="34"/>
        <v>0</v>
      </c>
      <c r="K192" s="66"/>
      <c r="L192" s="66"/>
      <c r="M192" s="66"/>
      <c r="N192"/>
    </row>
    <row r="193" spans="2:15" ht="15.75" x14ac:dyDescent="0.25">
      <c r="B193" s="54">
        <f>IF(D193&lt;&gt;"",COUNTA($D$144:D193),"")</f>
        <v>48</v>
      </c>
      <c r="C193" s="54"/>
      <c r="D193" s="51" t="s">
        <v>87</v>
      </c>
      <c r="E193" s="66"/>
      <c r="F193" s="66"/>
      <c r="G193" s="93">
        <v>0.42</v>
      </c>
      <c r="H193" s="93">
        <v>0.42</v>
      </c>
      <c r="J193" s="93">
        <f t="shared" si="34"/>
        <v>0</v>
      </c>
      <c r="K193" s="66"/>
      <c r="L193" s="66"/>
      <c r="M193" s="66"/>
      <c r="N193"/>
    </row>
    <row r="196" spans="2:15" x14ac:dyDescent="0.2">
      <c r="B196" s="47" t="s">
        <v>0</v>
      </c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</row>
    <row r="197" spans="2:15" x14ac:dyDescent="0.2">
      <c r="B197" s="47" t="s">
        <v>39</v>
      </c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</row>
    <row r="198" spans="2:15" x14ac:dyDescent="0.2">
      <c r="B198" s="47" t="s">
        <v>98</v>
      </c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</row>
    <row r="199" spans="2:15" ht="15.75" x14ac:dyDescent="0.25"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</row>
    <row r="200" spans="2:15" ht="15.75" x14ac:dyDescent="0.25">
      <c r="B200" s="49" t="s">
        <v>88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</row>
    <row r="203" spans="2:15" ht="15.75" x14ac:dyDescent="0.25">
      <c r="B203" s="54">
        <f>IF(D203&lt;&gt;"",COUNTA($D$203:D203),"")</f>
        <v>1</v>
      </c>
      <c r="C203" s="54"/>
      <c r="D203" s="50" t="s">
        <v>40</v>
      </c>
      <c r="E203" s="50"/>
      <c r="F203" s="56" t="str">
        <f>$F$68</f>
        <v>2026 In Effect (Winter)</v>
      </c>
      <c r="G203" s="56"/>
      <c r="H203" s="56"/>
      <c r="I203" s="51"/>
      <c r="J203" s="56" t="str">
        <f>$J$68</f>
        <v>2027 Proposed (Winter)</v>
      </c>
      <c r="K203" s="57"/>
      <c r="L203" s="57"/>
      <c r="M203"/>
      <c r="N203" s="57" t="str">
        <f>$N$10</f>
        <v>Total Bill Impact</v>
      </c>
      <c r="O203" s="57"/>
    </row>
    <row r="204" spans="2:15" ht="15.75" x14ac:dyDescent="0.25">
      <c r="B204" s="54">
        <f>IF(D204&lt;&gt;"",COUNTA($D$203:D204),"")</f>
        <v>2</v>
      </c>
      <c r="C204" s="54"/>
      <c r="D204" s="58" t="s">
        <v>42</v>
      </c>
      <c r="F204" s="59" t="s">
        <v>43</v>
      </c>
      <c r="G204" s="58" t="s">
        <v>44</v>
      </c>
      <c r="H204" s="59" t="s">
        <v>45</v>
      </c>
      <c r="I204" s="53"/>
      <c r="J204" s="58" t="s">
        <v>43</v>
      </c>
      <c r="K204" s="58" t="s">
        <v>44</v>
      </c>
      <c r="L204" s="58" t="s">
        <v>45</v>
      </c>
      <c r="M204"/>
      <c r="N204" s="58" t="s">
        <v>46</v>
      </c>
      <c r="O204" s="58" t="s">
        <v>10</v>
      </c>
    </row>
    <row r="205" spans="2:15" ht="15.75" x14ac:dyDescent="0.25">
      <c r="B205" s="54">
        <f>IF(D205&lt;&gt;"",COUNTA($D$203:D205),"")</f>
        <v>3</v>
      </c>
      <c r="C205" s="54"/>
      <c r="D205" s="60">
        <v>323.32018477422724</v>
      </c>
      <c r="F205" s="61">
        <f>ROUND(($D205*SUM($G$240,$G$242:$G$264,$G$266:$G$268)+$G$239)*(1-$G$270),2)</f>
        <v>28.78</v>
      </c>
      <c r="G205" s="61">
        <f>ROUND(($G$269*$D205)*(1-$G$270),2)</f>
        <v>31.09</v>
      </c>
      <c r="H205" s="61">
        <f t="shared" ref="H205:H218" si="35">SUM(F205:G205)</f>
        <v>59.870000000000005</v>
      </c>
      <c r="J205" s="61">
        <f>ROUND(($D205*SUM($H$240,$H$242:$H$264,$H$266:$H$268)+$H$239)*(1-$H$270),2)</f>
        <v>30.12</v>
      </c>
      <c r="K205" s="61">
        <f>ROUND(($H$269*$D205)*(1-$H$270),2)</f>
        <v>31.09</v>
      </c>
      <c r="L205" s="61">
        <f>SUM(J205:K205)</f>
        <v>61.21</v>
      </c>
      <c r="M205" s="86"/>
      <c r="N205" s="61">
        <f>+L205-H205</f>
        <v>1.3399999999999963</v>
      </c>
      <c r="O205" s="62">
        <f>+N205/H205</f>
        <v>2.238182729246695E-2</v>
      </c>
    </row>
    <row r="206" spans="2:15" ht="15.75" x14ac:dyDescent="0.25">
      <c r="B206" s="54">
        <f>IF(D206&lt;&gt;"",COUNTA($D$203:D206),"")</f>
        <v>4</v>
      </c>
      <c r="C206" s="54"/>
      <c r="D206" s="60">
        <v>646.64036954845449</v>
      </c>
      <c r="F206" s="61">
        <f t="shared" ref="F206:F218" si="36">ROUND(($D206*SUM($G$240,$G$242:$G$264,$G$266:$G$268)+$G$239)*(1-$G$270),2)</f>
        <v>51.76</v>
      </c>
      <c r="G206" s="61">
        <f t="shared" ref="G206:G218" si="37">ROUND(($G$269*$D206)*(1-$G$270),2)</f>
        <v>62.18</v>
      </c>
      <c r="H206" s="61">
        <f t="shared" si="35"/>
        <v>113.94</v>
      </c>
      <c r="J206" s="61">
        <f t="shared" ref="J206:J218" si="38">ROUND(($D206*SUM($H$240,$H$242:$H$264,$H$266:$H$268)+$H$239)*(1-$H$270),2)</f>
        <v>54.44</v>
      </c>
      <c r="K206" s="61">
        <f t="shared" ref="K206:K218" si="39">ROUND(($H$269*$D206)*(1-$H$270),2)</f>
        <v>62.18</v>
      </c>
      <c r="L206" s="61">
        <f t="shared" ref="L206:L218" si="40">SUM(J206:K206)</f>
        <v>116.62</v>
      </c>
      <c r="M206" s="86"/>
      <c r="N206" s="61">
        <f t="shared" ref="N206:N218" si="41">+L206-H206</f>
        <v>2.6800000000000068</v>
      </c>
      <c r="O206" s="62">
        <f t="shared" ref="O206:O218" si="42">+N206/H206</f>
        <v>2.352115148323685E-2</v>
      </c>
    </row>
    <row r="207" spans="2:15" ht="15.75" x14ac:dyDescent="0.25">
      <c r="B207" s="54">
        <f>IF(D207&lt;&gt;"",COUNTA($D$203:D207),"")</f>
        <v>5</v>
      </c>
      <c r="C207" s="54"/>
      <c r="D207" s="60">
        <v>969.96055432268179</v>
      </c>
      <c r="F207" s="61">
        <f t="shared" si="36"/>
        <v>74.73</v>
      </c>
      <c r="G207" s="61">
        <f t="shared" si="37"/>
        <v>93.28</v>
      </c>
      <c r="H207" s="61">
        <f t="shared" si="35"/>
        <v>168.01</v>
      </c>
      <c r="J207" s="61">
        <f t="shared" si="38"/>
        <v>78.760000000000005</v>
      </c>
      <c r="K207" s="61">
        <f t="shared" si="39"/>
        <v>93.28</v>
      </c>
      <c r="L207" s="61">
        <f t="shared" si="40"/>
        <v>172.04000000000002</v>
      </c>
      <c r="M207" s="86"/>
      <c r="N207" s="61">
        <f t="shared" si="41"/>
        <v>4.0300000000000296</v>
      </c>
      <c r="O207" s="62">
        <f t="shared" si="42"/>
        <v>2.3986667460270398E-2</v>
      </c>
    </row>
    <row r="208" spans="2:15" ht="15.75" x14ac:dyDescent="0.25">
      <c r="B208" s="54">
        <f>IF(D208&lt;&gt;"",COUNTA($D$203:D208),"")</f>
        <v>6</v>
      </c>
      <c r="C208" s="54"/>
      <c r="D208" s="60">
        <v>1293.280739096909</v>
      </c>
      <c r="F208" s="61">
        <f t="shared" si="36"/>
        <v>97.71</v>
      </c>
      <c r="G208" s="61">
        <f t="shared" si="37"/>
        <v>124.37</v>
      </c>
      <c r="H208" s="61">
        <f t="shared" si="35"/>
        <v>222.07999999999998</v>
      </c>
      <c r="J208" s="61">
        <f t="shared" si="38"/>
        <v>103.08</v>
      </c>
      <c r="K208" s="61">
        <f t="shared" si="39"/>
        <v>124.37</v>
      </c>
      <c r="L208" s="61">
        <f t="shared" si="40"/>
        <v>227.45</v>
      </c>
      <c r="M208" s="86"/>
      <c r="N208" s="61">
        <f t="shared" si="41"/>
        <v>5.3700000000000045</v>
      </c>
      <c r="O208" s="62">
        <f t="shared" si="42"/>
        <v>2.4180475504322788E-2</v>
      </c>
    </row>
    <row r="209" spans="2:15" ht="15.75" x14ac:dyDescent="0.25">
      <c r="B209" s="54">
        <f>IF(D209&lt;&gt;"",COUNTA($D$203:D209),"")</f>
        <v>7</v>
      </c>
      <c r="C209" s="54"/>
      <c r="D209" s="60">
        <v>1616.6009238711365</v>
      </c>
      <c r="F209" s="61">
        <f t="shared" si="36"/>
        <v>120.69</v>
      </c>
      <c r="G209" s="61">
        <f t="shared" si="37"/>
        <v>155.46</v>
      </c>
      <c r="H209" s="61">
        <f t="shared" si="35"/>
        <v>276.14999999999998</v>
      </c>
      <c r="J209" s="61">
        <f t="shared" si="38"/>
        <v>127.4</v>
      </c>
      <c r="K209" s="61">
        <f t="shared" si="39"/>
        <v>155.46</v>
      </c>
      <c r="L209" s="61">
        <f t="shared" si="40"/>
        <v>282.86</v>
      </c>
      <c r="M209" s="86"/>
      <c r="N209" s="61">
        <f t="shared" si="41"/>
        <v>6.7100000000000364</v>
      </c>
      <c r="O209" s="62">
        <f t="shared" si="42"/>
        <v>2.4298388556943825E-2</v>
      </c>
    </row>
    <row r="210" spans="2:15" ht="15.75" x14ac:dyDescent="0.25">
      <c r="B210" s="54">
        <f>IF(D210&lt;&gt;"",COUNTA($D$203:D210),"")</f>
        <v>8</v>
      </c>
      <c r="C210" s="54"/>
      <c r="D210" s="60">
        <v>1939.9211086453636</v>
      </c>
      <c r="F210" s="61">
        <f t="shared" si="36"/>
        <v>143.66999999999999</v>
      </c>
      <c r="G210" s="61">
        <f t="shared" si="37"/>
        <v>186.55</v>
      </c>
      <c r="H210" s="61">
        <f t="shared" si="35"/>
        <v>330.22</v>
      </c>
      <c r="J210" s="61">
        <f t="shared" si="38"/>
        <v>151.72</v>
      </c>
      <c r="K210" s="61">
        <f t="shared" si="39"/>
        <v>186.55</v>
      </c>
      <c r="L210" s="61">
        <f t="shared" si="40"/>
        <v>338.27</v>
      </c>
      <c r="M210" s="86"/>
      <c r="N210" s="61">
        <f t="shared" si="41"/>
        <v>8.0499999999999545</v>
      </c>
      <c r="O210" s="62">
        <f t="shared" si="42"/>
        <v>2.4377687602204452E-2</v>
      </c>
    </row>
    <row r="211" spans="2:15" ht="15.75" x14ac:dyDescent="0.25">
      <c r="B211" s="54">
        <f>IF(D211&lt;&gt;"",COUNTA($D$203:D211),"")</f>
        <v>9</v>
      </c>
      <c r="C211" s="54"/>
      <c r="D211" s="60">
        <v>2263.2412934195909</v>
      </c>
      <c r="F211" s="61">
        <f t="shared" si="36"/>
        <v>166.64</v>
      </c>
      <c r="G211" s="61">
        <f t="shared" si="37"/>
        <v>217.64</v>
      </c>
      <c r="H211" s="61">
        <f t="shared" si="35"/>
        <v>384.28</v>
      </c>
      <c r="J211" s="61">
        <f t="shared" si="38"/>
        <v>176.04</v>
      </c>
      <c r="K211" s="61">
        <f t="shared" si="39"/>
        <v>217.64</v>
      </c>
      <c r="L211" s="61">
        <f t="shared" si="40"/>
        <v>393.67999999999995</v>
      </c>
      <c r="M211" s="86"/>
      <c r="N211" s="61">
        <f t="shared" si="41"/>
        <v>9.3999999999999773</v>
      </c>
      <c r="O211" s="62">
        <f t="shared" si="42"/>
        <v>2.4461330280004107E-2</v>
      </c>
    </row>
    <row r="212" spans="2:15" ht="15.75" x14ac:dyDescent="0.25">
      <c r="B212" s="54">
        <f>IF(D212&lt;&gt;"",COUNTA($D$203:D212),"")</f>
        <v>10</v>
      </c>
      <c r="C212" s="54"/>
      <c r="D212" s="60">
        <v>2586.5614781938179</v>
      </c>
      <c r="F212" s="61">
        <f t="shared" si="36"/>
        <v>189.62</v>
      </c>
      <c r="G212" s="61">
        <f t="shared" si="37"/>
        <v>248.73</v>
      </c>
      <c r="H212" s="61">
        <f t="shared" si="35"/>
        <v>438.35</v>
      </c>
      <c r="J212" s="61">
        <f t="shared" si="38"/>
        <v>200.36</v>
      </c>
      <c r="K212" s="61">
        <f t="shared" si="39"/>
        <v>248.73</v>
      </c>
      <c r="L212" s="61">
        <f t="shared" si="40"/>
        <v>449.09000000000003</v>
      </c>
      <c r="M212" s="86"/>
      <c r="N212" s="61">
        <f t="shared" si="41"/>
        <v>10.740000000000009</v>
      </c>
      <c r="O212" s="62">
        <f t="shared" si="42"/>
        <v>2.4500969544884243E-2</v>
      </c>
    </row>
    <row r="213" spans="2:15" ht="15.75" x14ac:dyDescent="0.25">
      <c r="B213" s="54">
        <f>IF(D213&lt;&gt;"",COUNTA($D$203:D213),"")</f>
        <v>11</v>
      </c>
      <c r="C213" s="54"/>
      <c r="D213" s="60">
        <v>2909.8816629680455</v>
      </c>
      <c r="F213" s="61">
        <f t="shared" si="36"/>
        <v>212.6</v>
      </c>
      <c r="G213" s="61">
        <f t="shared" si="37"/>
        <v>279.83</v>
      </c>
      <c r="H213" s="61">
        <f t="shared" si="35"/>
        <v>492.42999999999995</v>
      </c>
      <c r="J213" s="61">
        <f t="shared" si="38"/>
        <v>224.68</v>
      </c>
      <c r="K213" s="61">
        <f t="shared" si="39"/>
        <v>279.83</v>
      </c>
      <c r="L213" s="61">
        <f t="shared" si="40"/>
        <v>504.51</v>
      </c>
      <c r="M213" s="86"/>
      <c r="N213" s="61">
        <f t="shared" si="41"/>
        <v>12.080000000000041</v>
      </c>
      <c r="O213" s="62">
        <f t="shared" si="42"/>
        <v>2.4531405478951409E-2</v>
      </c>
    </row>
    <row r="214" spans="2:15" ht="15.75" x14ac:dyDescent="0.25">
      <c r="B214" s="54">
        <f>IF(D214&lt;&gt;"",COUNTA($D$203:D214),"")</f>
        <v>12</v>
      </c>
      <c r="C214" s="54"/>
      <c r="D214" s="60">
        <v>3233.201847742273</v>
      </c>
      <c r="F214" s="61">
        <f t="shared" si="36"/>
        <v>235.58</v>
      </c>
      <c r="G214" s="61">
        <f t="shared" si="37"/>
        <v>310.92</v>
      </c>
      <c r="H214" s="61">
        <f t="shared" si="35"/>
        <v>546.5</v>
      </c>
      <c r="J214" s="61">
        <f t="shared" si="38"/>
        <v>249</v>
      </c>
      <c r="K214" s="61">
        <f t="shared" si="39"/>
        <v>310.92</v>
      </c>
      <c r="L214" s="61">
        <f t="shared" si="40"/>
        <v>559.92000000000007</v>
      </c>
      <c r="M214" s="86"/>
      <c r="N214" s="61">
        <f t="shared" si="41"/>
        <v>13.420000000000073</v>
      </c>
      <c r="O214" s="62">
        <f t="shared" si="42"/>
        <v>2.4556267154620445E-2</v>
      </c>
    </row>
    <row r="215" spans="2:15" ht="15.75" x14ac:dyDescent="0.25">
      <c r="B215" s="54">
        <f>IF(D215&lt;&gt;"",COUNTA($D$203:D215),"")</f>
        <v>13</v>
      </c>
      <c r="C215" s="54"/>
      <c r="D215" s="60">
        <v>4041.5023096778409</v>
      </c>
      <c r="F215" s="61">
        <f t="shared" si="36"/>
        <v>293.02</v>
      </c>
      <c r="G215" s="61">
        <f t="shared" si="37"/>
        <v>388.65</v>
      </c>
      <c r="H215" s="61">
        <f t="shared" si="35"/>
        <v>681.67</v>
      </c>
      <c r="J215" s="61">
        <f t="shared" si="38"/>
        <v>309.8</v>
      </c>
      <c r="K215" s="61">
        <f t="shared" si="39"/>
        <v>388.65</v>
      </c>
      <c r="L215" s="61">
        <f t="shared" si="40"/>
        <v>698.45</v>
      </c>
      <c r="M215" s="86"/>
      <c r="N215" s="61">
        <f t="shared" si="41"/>
        <v>16.780000000000086</v>
      </c>
      <c r="O215" s="62">
        <f t="shared" si="42"/>
        <v>2.4616016547596473E-2</v>
      </c>
    </row>
    <row r="216" spans="2:15" ht="15.75" x14ac:dyDescent="0.25">
      <c r="B216" s="54">
        <f>IF(D216&lt;&gt;"",COUNTA($D$203:D216),"")</f>
        <v>14</v>
      </c>
      <c r="C216" s="54"/>
      <c r="D216" s="60">
        <v>4849.8027716134084</v>
      </c>
      <c r="F216" s="61">
        <f t="shared" si="36"/>
        <v>350.46</v>
      </c>
      <c r="G216" s="61">
        <f t="shared" si="37"/>
        <v>466.38</v>
      </c>
      <c r="H216" s="61">
        <f t="shared" si="35"/>
        <v>816.83999999999992</v>
      </c>
      <c r="J216" s="61">
        <f t="shared" si="38"/>
        <v>370.6</v>
      </c>
      <c r="K216" s="61">
        <f t="shared" si="39"/>
        <v>466.38</v>
      </c>
      <c r="L216" s="61">
        <f t="shared" si="40"/>
        <v>836.98</v>
      </c>
      <c r="M216" s="86"/>
      <c r="N216" s="61">
        <f t="shared" si="41"/>
        <v>20.1400000000001</v>
      </c>
      <c r="O216" s="62">
        <f t="shared" si="42"/>
        <v>2.4655991381421213E-2</v>
      </c>
    </row>
    <row r="217" spans="2:15" ht="15.75" x14ac:dyDescent="0.25">
      <c r="B217" s="54">
        <f>IF(D217&lt;&gt;"",COUNTA($D$203:D217),"")</f>
        <v>15</v>
      </c>
      <c r="C217" s="54"/>
      <c r="D217" s="60">
        <v>6466.403695484546</v>
      </c>
      <c r="F217" s="61">
        <f t="shared" si="36"/>
        <v>465.35</v>
      </c>
      <c r="G217" s="61">
        <f t="shared" si="37"/>
        <v>621.84</v>
      </c>
      <c r="H217" s="61">
        <f t="shared" si="35"/>
        <v>1087.19</v>
      </c>
      <c r="J217" s="61">
        <f t="shared" si="38"/>
        <v>492.2</v>
      </c>
      <c r="K217" s="61">
        <f t="shared" si="39"/>
        <v>621.84</v>
      </c>
      <c r="L217" s="61">
        <f t="shared" si="40"/>
        <v>1114.04</v>
      </c>
      <c r="M217" s="86"/>
      <c r="N217" s="61">
        <f t="shared" si="41"/>
        <v>26.849999999999909</v>
      </c>
      <c r="O217" s="62">
        <f t="shared" si="42"/>
        <v>2.4696695149881719E-2</v>
      </c>
    </row>
    <row r="218" spans="2:15" ht="15.75" x14ac:dyDescent="0.25">
      <c r="B218" s="54">
        <f>IF(D218&lt;&gt;"",COUNTA($D$203:D218),"")</f>
        <v>16</v>
      </c>
      <c r="C218" s="54" t="s">
        <v>47</v>
      </c>
      <c r="D218" s="60">
        <v>1713.5969793034044</v>
      </c>
      <c r="F218" s="61">
        <f t="shared" si="36"/>
        <v>127.58</v>
      </c>
      <c r="G218" s="61">
        <f t="shared" si="37"/>
        <v>164.79</v>
      </c>
      <c r="H218" s="61">
        <f t="shared" si="35"/>
        <v>292.37</v>
      </c>
      <c r="J218" s="61">
        <f t="shared" si="38"/>
        <v>134.69999999999999</v>
      </c>
      <c r="K218" s="61">
        <f t="shared" si="39"/>
        <v>164.79</v>
      </c>
      <c r="L218" s="61">
        <f t="shared" si="40"/>
        <v>299.49</v>
      </c>
      <c r="M218" s="86"/>
      <c r="N218" s="61">
        <f t="shared" si="41"/>
        <v>7.1200000000000045</v>
      </c>
      <c r="O218" s="62">
        <f t="shared" si="42"/>
        <v>2.4352703765776258E-2</v>
      </c>
    </row>
    <row r="219" spans="2:15" ht="15.75" x14ac:dyDescent="0.25">
      <c r="B219" s="54" t="str">
        <f>IF(D219&lt;&gt;"",COUNTA($D$203:D219),"")</f>
        <v/>
      </c>
      <c r="L219" s="86"/>
      <c r="M219" s="86"/>
      <c r="N219" s="86"/>
    </row>
    <row r="220" spans="2:15" ht="15.75" x14ac:dyDescent="0.25">
      <c r="B220" s="54">
        <f>IF(D220&lt;&gt;"",COUNTA($D$203:D220),"")</f>
        <v>17</v>
      </c>
      <c r="C220" s="54"/>
      <c r="D220" s="50" t="s">
        <v>40</v>
      </c>
      <c r="E220" s="50"/>
      <c r="F220" s="56" t="str">
        <f>$F$85</f>
        <v>2026 In Effect (Summer)</v>
      </c>
      <c r="G220" s="56"/>
      <c r="H220" s="56"/>
      <c r="I220" s="51"/>
      <c r="J220" s="56" t="str">
        <f>$J$85</f>
        <v>2027 Proposed (Summer)</v>
      </c>
      <c r="K220" s="57"/>
      <c r="L220" s="57"/>
      <c r="M220"/>
      <c r="N220" s="57" t="str">
        <f>$N$10</f>
        <v>Total Bill Impact</v>
      </c>
      <c r="O220" s="57"/>
    </row>
    <row r="221" spans="2:15" ht="15.75" x14ac:dyDescent="0.25">
      <c r="B221" s="54">
        <f>IF(D221&lt;&gt;"",COUNTA($D$203:D221),"")</f>
        <v>18</v>
      </c>
      <c r="C221" s="54"/>
      <c r="D221" s="58" t="s">
        <v>42</v>
      </c>
      <c r="F221" s="59" t="s">
        <v>43</v>
      </c>
      <c r="G221" s="58" t="s">
        <v>44</v>
      </c>
      <c r="H221" s="59" t="s">
        <v>45</v>
      </c>
      <c r="I221" s="53"/>
      <c r="J221" s="58" t="s">
        <v>43</v>
      </c>
      <c r="K221" s="58" t="s">
        <v>44</v>
      </c>
      <c r="L221" s="58" t="s">
        <v>45</v>
      </c>
      <c r="M221"/>
      <c r="N221" s="58" t="s">
        <v>46</v>
      </c>
      <c r="O221" s="58" t="s">
        <v>10</v>
      </c>
    </row>
    <row r="222" spans="2:15" ht="15.75" x14ac:dyDescent="0.25">
      <c r="B222" s="54">
        <f>IF(D222&lt;&gt;"",COUNTA($D$203:D222),"")</f>
        <v>19</v>
      </c>
      <c r="C222" s="54"/>
      <c r="D222" s="60">
        <v>113.66094730124446</v>
      </c>
      <c r="F222" s="61">
        <f>ROUND(($D222*SUM($G$241:$G$263,$G$265:$G$268)+$G$239)*(1-$G$270),2)</f>
        <v>18.97</v>
      </c>
      <c r="G222" s="61">
        <f>ROUND(($G$269*$D222)*(1-$G$270),2)</f>
        <v>10.93</v>
      </c>
      <c r="H222" s="61">
        <f>SUM(F222:G222)</f>
        <v>29.9</v>
      </c>
      <c r="J222" s="61">
        <f>ROUND(($D222*SUM($H$241:$H$263,$H$265:$H$268)+$H$239)*(1-$H$270),2)</f>
        <v>19.45</v>
      </c>
      <c r="K222" s="61">
        <f>ROUND(($H$269*$D222)*(1-$H$270),2)</f>
        <v>10.93</v>
      </c>
      <c r="L222" s="61">
        <f>SUM(J222:K222)</f>
        <v>30.38</v>
      </c>
      <c r="M222" s="86"/>
      <c r="N222" s="61">
        <f>+L222-H222</f>
        <v>0.48000000000000043</v>
      </c>
      <c r="O222" s="62">
        <f>+N222/H222</f>
        <v>1.6053511705685634E-2</v>
      </c>
    </row>
    <row r="223" spans="2:15" ht="15.75" x14ac:dyDescent="0.25">
      <c r="B223" s="54">
        <f>IF(D223&lt;&gt;"",COUNTA($D$203:D223),"")</f>
        <v>20</v>
      </c>
      <c r="C223" s="54"/>
      <c r="D223" s="60">
        <v>227.32189460248892</v>
      </c>
      <c r="F223" s="61">
        <f t="shared" ref="F223:F235" si="43">ROUND(($D223*SUM($G$241:$G$263,$G$265:$G$268)+$G$239)*(1-$G$270),2)</f>
        <v>32.15</v>
      </c>
      <c r="G223" s="61">
        <f t="shared" ref="G223:G235" si="44">ROUND(($G$269*$D223)*(1-$G$270),2)</f>
        <v>21.86</v>
      </c>
      <c r="H223" s="61">
        <f t="shared" ref="H223:H235" si="45">SUM(F223:G223)</f>
        <v>54.01</v>
      </c>
      <c r="J223" s="61">
        <f t="shared" ref="J223:J235" si="46">ROUND(($D223*SUM($H$241:$H$263,$H$265:$H$268)+$H$239)*(1-$H$270),2)</f>
        <v>33.090000000000003</v>
      </c>
      <c r="K223" s="61">
        <f t="shared" ref="K223:K235" si="47">ROUND(($H$269*$D223)*(1-$H$270),2)</f>
        <v>21.86</v>
      </c>
      <c r="L223" s="61">
        <f t="shared" ref="L223:L235" si="48">SUM(J223:K223)</f>
        <v>54.95</v>
      </c>
      <c r="M223" s="86"/>
      <c r="N223" s="61">
        <f t="shared" ref="N223:N235" si="49">+L223-H223</f>
        <v>0.94000000000000483</v>
      </c>
      <c r="O223" s="62">
        <f t="shared" ref="O223:O235" si="50">+N223/H223</f>
        <v>1.7404184410294479E-2</v>
      </c>
    </row>
    <row r="224" spans="2:15" ht="15.75" x14ac:dyDescent="0.25">
      <c r="B224" s="54">
        <f>IF(D224&lt;&gt;"",COUNTA($D$203:D224),"")</f>
        <v>21</v>
      </c>
      <c r="C224" s="54"/>
      <c r="D224" s="60">
        <v>340.9828419037334</v>
      </c>
      <c r="F224" s="61">
        <f t="shared" si="43"/>
        <v>45.32</v>
      </c>
      <c r="G224" s="61">
        <f t="shared" si="44"/>
        <v>32.79</v>
      </c>
      <c r="H224" s="61">
        <f t="shared" si="45"/>
        <v>78.11</v>
      </c>
      <c r="J224" s="61">
        <f t="shared" si="46"/>
        <v>46.74</v>
      </c>
      <c r="K224" s="61">
        <f t="shared" si="47"/>
        <v>32.79</v>
      </c>
      <c r="L224" s="61">
        <f t="shared" si="48"/>
        <v>79.53</v>
      </c>
      <c r="M224" s="86"/>
      <c r="N224" s="61">
        <f t="shared" si="49"/>
        <v>1.4200000000000017</v>
      </c>
      <c r="O224" s="62">
        <f t="shared" si="50"/>
        <v>1.8179490462168758E-2</v>
      </c>
    </row>
    <row r="225" spans="2:15" ht="15.75" x14ac:dyDescent="0.25">
      <c r="B225" s="54">
        <f>IF(D225&lt;&gt;"",COUNTA($D$203:D225),"")</f>
        <v>22</v>
      </c>
      <c r="C225" s="54"/>
      <c r="D225" s="60">
        <v>454.64378920497785</v>
      </c>
      <c r="F225" s="61">
        <f t="shared" si="43"/>
        <v>58.5</v>
      </c>
      <c r="G225" s="61">
        <f t="shared" si="44"/>
        <v>43.72</v>
      </c>
      <c r="H225" s="61">
        <f t="shared" si="45"/>
        <v>102.22</v>
      </c>
      <c r="J225" s="61">
        <f t="shared" si="46"/>
        <v>60.39</v>
      </c>
      <c r="K225" s="61">
        <f t="shared" si="47"/>
        <v>43.72</v>
      </c>
      <c r="L225" s="61">
        <f t="shared" si="48"/>
        <v>104.11</v>
      </c>
      <c r="M225" s="86"/>
      <c r="N225" s="61">
        <f t="shared" si="49"/>
        <v>1.8900000000000006</v>
      </c>
      <c r="O225" s="62">
        <f t="shared" si="50"/>
        <v>1.8489532381138728E-2</v>
      </c>
    </row>
    <row r="226" spans="2:15" ht="15.75" x14ac:dyDescent="0.25">
      <c r="B226" s="54">
        <f>IF(D226&lt;&gt;"",COUNTA($D$203:D226),"")</f>
        <v>23</v>
      </c>
      <c r="C226" s="54"/>
      <c r="D226" s="60">
        <v>568.30473650622241</v>
      </c>
      <c r="F226" s="61">
        <f t="shared" si="43"/>
        <v>71.67</v>
      </c>
      <c r="G226" s="61">
        <f t="shared" si="44"/>
        <v>54.65</v>
      </c>
      <c r="H226" s="61">
        <f t="shared" si="45"/>
        <v>126.32</v>
      </c>
      <c r="J226" s="61">
        <f t="shared" si="46"/>
        <v>74.03</v>
      </c>
      <c r="K226" s="61">
        <f t="shared" si="47"/>
        <v>54.65</v>
      </c>
      <c r="L226" s="61">
        <f t="shared" si="48"/>
        <v>128.68</v>
      </c>
      <c r="M226" s="86"/>
      <c r="N226" s="61">
        <f t="shared" si="49"/>
        <v>2.3600000000000136</v>
      </c>
      <c r="O226" s="62">
        <f t="shared" si="50"/>
        <v>1.8682710576314231E-2</v>
      </c>
    </row>
    <row r="227" spans="2:15" ht="15.75" x14ac:dyDescent="0.25">
      <c r="B227" s="54">
        <f>IF(D227&lt;&gt;"",COUNTA($D$203:D227),"")</f>
        <v>24</v>
      </c>
      <c r="C227" s="54"/>
      <c r="D227" s="60">
        <v>681.9656838074668</v>
      </c>
      <c r="F227" s="61">
        <f t="shared" si="43"/>
        <v>84.85</v>
      </c>
      <c r="G227" s="61">
        <f t="shared" si="44"/>
        <v>65.58</v>
      </c>
      <c r="H227" s="61">
        <f t="shared" si="45"/>
        <v>150.43</v>
      </c>
      <c r="J227" s="61">
        <f t="shared" si="46"/>
        <v>87.68</v>
      </c>
      <c r="K227" s="61">
        <f t="shared" si="47"/>
        <v>65.58</v>
      </c>
      <c r="L227" s="61">
        <f t="shared" si="48"/>
        <v>153.26</v>
      </c>
      <c r="M227" s="86"/>
      <c r="N227" s="61">
        <f t="shared" si="49"/>
        <v>2.8299999999999841</v>
      </c>
      <c r="O227" s="62">
        <f t="shared" si="50"/>
        <v>1.8812736821112702E-2</v>
      </c>
    </row>
    <row r="228" spans="2:15" ht="15.75" x14ac:dyDescent="0.25">
      <c r="B228" s="54">
        <f>IF(D228&lt;&gt;"",COUNTA($D$203:D228),"")</f>
        <v>25</v>
      </c>
      <c r="C228" s="54"/>
      <c r="D228" s="60">
        <v>795.62663110871119</v>
      </c>
      <c r="F228" s="61">
        <f t="shared" si="43"/>
        <v>98.02</v>
      </c>
      <c r="G228" s="61">
        <f t="shared" si="44"/>
        <v>76.510000000000005</v>
      </c>
      <c r="H228" s="61">
        <f t="shared" si="45"/>
        <v>174.53</v>
      </c>
      <c r="J228" s="61">
        <f t="shared" si="46"/>
        <v>101.33</v>
      </c>
      <c r="K228" s="61">
        <f t="shared" si="47"/>
        <v>76.510000000000005</v>
      </c>
      <c r="L228" s="61">
        <f t="shared" si="48"/>
        <v>177.84</v>
      </c>
      <c r="M228" s="86"/>
      <c r="N228" s="61">
        <f t="shared" si="49"/>
        <v>3.3100000000000023</v>
      </c>
      <c r="O228" s="62">
        <f t="shared" si="50"/>
        <v>1.8965220878932001E-2</v>
      </c>
    </row>
    <row r="229" spans="2:15" ht="15.75" x14ac:dyDescent="0.25">
      <c r="B229" s="54">
        <f>IF(D229&lt;&gt;"",COUNTA($D$203:D229),"")</f>
        <v>26</v>
      </c>
      <c r="C229" s="54"/>
      <c r="D229" s="60">
        <v>909.2875784099557</v>
      </c>
      <c r="F229" s="61">
        <f t="shared" si="43"/>
        <v>111.2</v>
      </c>
      <c r="G229" s="61">
        <f t="shared" si="44"/>
        <v>87.44</v>
      </c>
      <c r="H229" s="61">
        <f t="shared" si="45"/>
        <v>198.64</v>
      </c>
      <c r="J229" s="61">
        <f t="shared" si="46"/>
        <v>114.97</v>
      </c>
      <c r="K229" s="61">
        <f t="shared" si="47"/>
        <v>87.44</v>
      </c>
      <c r="L229" s="61">
        <f t="shared" si="48"/>
        <v>202.41</v>
      </c>
      <c r="M229" s="86"/>
      <c r="N229" s="61">
        <f t="shared" si="49"/>
        <v>3.7700000000000102</v>
      </c>
      <c r="O229" s="62">
        <f t="shared" si="50"/>
        <v>1.8979057591623088E-2</v>
      </c>
    </row>
    <row r="230" spans="2:15" ht="15.75" x14ac:dyDescent="0.25">
      <c r="B230" s="54">
        <f>IF(D230&lt;&gt;"",COUNTA($D$203:D230),"")</f>
        <v>27</v>
      </c>
      <c r="C230" s="54"/>
      <c r="D230" s="60">
        <v>1022.9485257112002</v>
      </c>
      <c r="F230" s="61">
        <f t="shared" si="43"/>
        <v>124.37</v>
      </c>
      <c r="G230" s="61">
        <f t="shared" si="44"/>
        <v>98.37</v>
      </c>
      <c r="H230" s="61">
        <f t="shared" si="45"/>
        <v>222.74</v>
      </c>
      <c r="J230" s="61">
        <f t="shared" si="46"/>
        <v>128.62</v>
      </c>
      <c r="K230" s="61">
        <f t="shared" si="47"/>
        <v>98.37</v>
      </c>
      <c r="L230" s="61">
        <f t="shared" si="48"/>
        <v>226.99</v>
      </c>
      <c r="M230" s="86"/>
      <c r="N230" s="61">
        <f t="shared" si="49"/>
        <v>4.25</v>
      </c>
      <c r="O230" s="62">
        <f t="shared" si="50"/>
        <v>1.9080542336356289E-2</v>
      </c>
    </row>
    <row r="231" spans="2:15" ht="15.75" x14ac:dyDescent="0.25">
      <c r="B231" s="54">
        <f>IF(D231&lt;&gt;"",COUNTA($D$203:D231),"")</f>
        <v>28</v>
      </c>
      <c r="C231" s="54"/>
      <c r="D231" s="60">
        <v>1136.6094730124448</v>
      </c>
      <c r="F231" s="61">
        <f t="shared" si="43"/>
        <v>137.55000000000001</v>
      </c>
      <c r="G231" s="61">
        <f t="shared" si="44"/>
        <v>109.3</v>
      </c>
      <c r="H231" s="61">
        <f t="shared" si="45"/>
        <v>246.85000000000002</v>
      </c>
      <c r="J231" s="61">
        <f t="shared" si="46"/>
        <v>142.27000000000001</v>
      </c>
      <c r="K231" s="61">
        <f t="shared" si="47"/>
        <v>109.3</v>
      </c>
      <c r="L231" s="61">
        <f t="shared" si="48"/>
        <v>251.57</v>
      </c>
      <c r="M231" s="86"/>
      <c r="N231" s="61">
        <f t="shared" si="49"/>
        <v>4.7199999999999704</v>
      </c>
      <c r="O231" s="62">
        <f t="shared" si="50"/>
        <v>1.9120923637836622E-2</v>
      </c>
    </row>
    <row r="232" spans="2:15" ht="15.75" x14ac:dyDescent="0.25">
      <c r="B232" s="54">
        <f>IF(D232&lt;&gt;"",COUNTA($D$203:D232),"")</f>
        <v>29</v>
      </c>
      <c r="C232" s="54"/>
      <c r="D232" s="60">
        <v>1420.7618412655559</v>
      </c>
      <c r="F232" s="61">
        <f t="shared" si="43"/>
        <v>170.48</v>
      </c>
      <c r="G232" s="61">
        <f t="shared" si="44"/>
        <v>136.63</v>
      </c>
      <c r="H232" s="61">
        <f t="shared" si="45"/>
        <v>307.11</v>
      </c>
      <c r="J232" s="61">
        <f t="shared" si="46"/>
        <v>176.38</v>
      </c>
      <c r="K232" s="61">
        <f t="shared" si="47"/>
        <v>136.63</v>
      </c>
      <c r="L232" s="61">
        <f t="shared" si="48"/>
        <v>313.01</v>
      </c>
      <c r="M232" s="86"/>
      <c r="N232" s="61">
        <f t="shared" si="49"/>
        <v>5.8999999999999773</v>
      </c>
      <c r="O232" s="62">
        <f t="shared" si="50"/>
        <v>1.9211357494057429E-2</v>
      </c>
    </row>
    <row r="233" spans="2:15" ht="15.75" x14ac:dyDescent="0.25">
      <c r="B233" s="54">
        <f>IF(D233&lt;&gt;"",COUNTA($D$203:D233),"")</f>
        <v>30</v>
      </c>
      <c r="C233" s="54"/>
      <c r="D233" s="60">
        <v>1704.9142095186669</v>
      </c>
      <c r="F233" s="61">
        <f t="shared" si="43"/>
        <v>203.42</v>
      </c>
      <c r="G233" s="61">
        <f t="shared" si="44"/>
        <v>163.95</v>
      </c>
      <c r="H233" s="61">
        <f t="shared" si="45"/>
        <v>367.37</v>
      </c>
      <c r="J233" s="61">
        <f t="shared" si="46"/>
        <v>210.5</v>
      </c>
      <c r="K233" s="61">
        <f t="shared" si="47"/>
        <v>163.95</v>
      </c>
      <c r="L233" s="61">
        <f t="shared" si="48"/>
        <v>374.45</v>
      </c>
      <c r="M233" s="86"/>
      <c r="N233" s="61">
        <f t="shared" si="49"/>
        <v>7.0799999999999841</v>
      </c>
      <c r="O233" s="62">
        <f t="shared" si="50"/>
        <v>1.9272123472248642E-2</v>
      </c>
    </row>
    <row r="234" spans="2:15" ht="15.75" x14ac:dyDescent="0.25">
      <c r="B234" s="54">
        <f>IF(D234&lt;&gt;"",COUNTA($D$203:D234),"")</f>
        <v>31</v>
      </c>
      <c r="C234" s="54"/>
      <c r="D234" s="60">
        <v>2273.2189460248896</v>
      </c>
      <c r="F234" s="61">
        <f t="shared" si="43"/>
        <v>269.3</v>
      </c>
      <c r="G234" s="61">
        <f t="shared" si="44"/>
        <v>218.6</v>
      </c>
      <c r="H234" s="61">
        <f t="shared" si="45"/>
        <v>487.9</v>
      </c>
      <c r="J234" s="61">
        <f t="shared" si="46"/>
        <v>278.74</v>
      </c>
      <c r="K234" s="61">
        <f t="shared" si="47"/>
        <v>218.6</v>
      </c>
      <c r="L234" s="61">
        <f t="shared" si="48"/>
        <v>497.34000000000003</v>
      </c>
      <c r="M234" s="86"/>
      <c r="N234" s="61">
        <f t="shared" si="49"/>
        <v>9.4400000000000546</v>
      </c>
      <c r="O234" s="62">
        <f t="shared" si="50"/>
        <v>1.9348227095716448E-2</v>
      </c>
    </row>
    <row r="235" spans="2:15" ht="15.75" x14ac:dyDescent="0.25">
      <c r="B235" s="54">
        <f>IF(D235&lt;&gt;"",COUNTA($D$203:D235),"")</f>
        <v>32</v>
      </c>
      <c r="C235" s="54" t="s">
        <v>47</v>
      </c>
      <c r="D235" s="60">
        <v>602.4030206965956</v>
      </c>
      <c r="F235" s="61">
        <f t="shared" si="43"/>
        <v>75.63</v>
      </c>
      <c r="G235" s="61">
        <f t="shared" si="44"/>
        <v>57.93</v>
      </c>
      <c r="H235" s="61">
        <f t="shared" si="45"/>
        <v>133.56</v>
      </c>
      <c r="J235" s="61">
        <f t="shared" si="46"/>
        <v>78.13</v>
      </c>
      <c r="K235" s="61">
        <f t="shared" si="47"/>
        <v>57.93</v>
      </c>
      <c r="L235" s="61">
        <f t="shared" si="48"/>
        <v>136.06</v>
      </c>
      <c r="M235" s="86"/>
      <c r="N235" s="61">
        <f t="shared" si="49"/>
        <v>2.5</v>
      </c>
      <c r="O235" s="62">
        <f t="shared" si="50"/>
        <v>1.8718179095537586E-2</v>
      </c>
    </row>
    <row r="236" spans="2:15" ht="15.75" x14ac:dyDescent="0.25">
      <c r="B236" s="54" t="str">
        <f>IF(D236&lt;&gt;"",COUNTA($D$203:D236),"")</f>
        <v/>
      </c>
      <c r="L236" s="86"/>
      <c r="M236" s="86"/>
      <c r="N236" s="86"/>
    </row>
    <row r="237" spans="2:15" ht="15.75" x14ac:dyDescent="0.25">
      <c r="B237" s="54">
        <f>IF(D237&lt;&gt;"",COUNTA($D$203:D237),"")</f>
        <v>33</v>
      </c>
      <c r="D237" s="46" t="s">
        <v>27</v>
      </c>
      <c r="G237" s="89" t="str">
        <f>$G$28</f>
        <v>2026 In Effect</v>
      </c>
      <c r="H237" s="89" t="str">
        <f>$H$28</f>
        <v>2027 Proposed</v>
      </c>
      <c r="J237" s="75"/>
      <c r="L237" s="86"/>
      <c r="M237" s="86"/>
      <c r="N237" s="86"/>
    </row>
    <row r="238" spans="2:15" ht="15.75" x14ac:dyDescent="0.25">
      <c r="B238" s="54">
        <f>IF(D238&lt;&gt;"",COUNTA($D$203:D238),"")</f>
        <v>34</v>
      </c>
      <c r="D238" s="46" t="s">
        <v>27</v>
      </c>
      <c r="G238" s="78" t="s">
        <v>48</v>
      </c>
      <c r="H238" s="78" t="s">
        <v>48</v>
      </c>
      <c r="J238" s="78" t="s">
        <v>46</v>
      </c>
      <c r="L238" s="86"/>
      <c r="M238" s="86"/>
      <c r="N238" s="86"/>
    </row>
    <row r="239" spans="2:15" ht="15.75" x14ac:dyDescent="0.25">
      <c r="B239" s="54">
        <f>IF(D239&lt;&gt;"",COUNTA($D$203:D239),"")</f>
        <v>35</v>
      </c>
      <c r="D239" s="51" t="s">
        <v>49</v>
      </c>
      <c r="G239" s="81">
        <v>10</v>
      </c>
      <c r="H239" s="81">
        <v>10</v>
      </c>
      <c r="J239" s="81">
        <f t="shared" ref="J239:J269" si="51">+H239-G239</f>
        <v>0</v>
      </c>
      <c r="L239" s="86"/>
      <c r="M239" s="86"/>
      <c r="N239" s="86"/>
    </row>
    <row r="240" spans="2:15" ht="15.75" x14ac:dyDescent="0.25">
      <c r="B240" s="54">
        <f>IF(D240&lt;&gt;"",COUNTA($D$203:D240),"")</f>
        <v>36</v>
      </c>
      <c r="D240" s="51" t="s">
        <v>83</v>
      </c>
      <c r="G240" s="85">
        <v>2.052E-2</v>
      </c>
      <c r="H240" s="85">
        <v>2.052E-2</v>
      </c>
      <c r="J240" s="85">
        <f t="shared" si="51"/>
        <v>0</v>
      </c>
      <c r="L240" s="86"/>
      <c r="M240" s="86"/>
      <c r="N240" s="86"/>
    </row>
    <row r="241" spans="2:14" ht="15.75" x14ac:dyDescent="0.25">
      <c r="B241" s="54">
        <f>IF(D241&lt;&gt;"",COUNTA($D$203:D241),"")</f>
        <v>37</v>
      </c>
      <c r="D241" s="51" t="s">
        <v>84</v>
      </c>
      <c r="G241" s="85">
        <v>6.6030000000000005E-2</v>
      </c>
      <c r="H241" s="85">
        <v>6.6030000000000005E-2</v>
      </c>
      <c r="J241" s="85">
        <f t="shared" si="51"/>
        <v>0</v>
      </c>
      <c r="L241" s="86"/>
      <c r="M241" s="86"/>
      <c r="N241" s="86"/>
    </row>
    <row r="242" spans="2:14" ht="15.75" x14ac:dyDescent="0.25">
      <c r="B242" s="54">
        <f>IF(D242&lt;&gt;"",COUNTA($D$203:D242),"")</f>
        <v>38</v>
      </c>
      <c r="D242" s="51" t="s">
        <v>51</v>
      </c>
      <c r="G242" s="85">
        <v>-1.0000000000000001E-5</v>
      </c>
      <c r="H242" s="85">
        <v>-1.0000000000000001E-5</v>
      </c>
      <c r="J242" s="85">
        <f t="shared" si="51"/>
        <v>0</v>
      </c>
      <c r="L242" s="86"/>
      <c r="M242" s="86"/>
      <c r="N242" s="86"/>
    </row>
    <row r="243" spans="2:14" ht="15.75" x14ac:dyDescent="0.25">
      <c r="B243" s="54">
        <f>IF(D243&lt;&gt;"",COUNTA($D$203:D243),"")</f>
        <v>39</v>
      </c>
      <c r="D243" s="51" t="s">
        <v>52</v>
      </c>
      <c r="G243" s="85">
        <v>4.4299999999999999E-3</v>
      </c>
      <c r="H243" s="85">
        <v>4.4299999999999999E-3</v>
      </c>
      <c r="J243" s="85">
        <f t="shared" si="51"/>
        <v>0</v>
      </c>
      <c r="L243" s="86"/>
      <c r="M243" s="86"/>
      <c r="N243" s="86"/>
    </row>
    <row r="244" spans="2:14" ht="15.75" x14ac:dyDescent="0.25">
      <c r="B244" s="54">
        <f>IF(D244&lt;&gt;"",COUNTA($D$203:D244),"")</f>
        <v>40</v>
      </c>
      <c r="D244" s="51" t="s">
        <v>53</v>
      </c>
      <c r="G244" s="85">
        <v>5.8300000000000001E-3</v>
      </c>
      <c r="H244" s="85">
        <v>5.8300000000000001E-3</v>
      </c>
      <c r="J244" s="85">
        <f t="shared" si="51"/>
        <v>0</v>
      </c>
      <c r="L244" s="86"/>
      <c r="M244" s="86"/>
      <c r="N244" s="86"/>
    </row>
    <row r="245" spans="2:14" ht="15.75" x14ac:dyDescent="0.25">
      <c r="B245" s="54">
        <f>IF(D245&lt;&gt;"",COUNTA($D$203:D245),"")</f>
        <v>41</v>
      </c>
      <c r="D245" s="51" t="s">
        <v>54</v>
      </c>
      <c r="G245" s="85">
        <v>1.0330000000000001E-2</v>
      </c>
      <c r="H245" s="85">
        <v>1.0330000000000001E-2</v>
      </c>
      <c r="J245" s="85">
        <f t="shared" si="51"/>
        <v>0</v>
      </c>
      <c r="L245" s="86"/>
      <c r="M245" s="86"/>
      <c r="N245" s="86"/>
    </row>
    <row r="246" spans="2:14" ht="15.75" x14ac:dyDescent="0.25">
      <c r="B246" s="54">
        <f>IF(D246&lt;&gt;"",COUNTA($D$203:D246),"")</f>
        <v>42</v>
      </c>
      <c r="D246" s="51" t="s">
        <v>55</v>
      </c>
      <c r="G246" s="85">
        <v>1.3799999999999999E-3</v>
      </c>
      <c r="H246" s="85">
        <v>1.3799999999999999E-3</v>
      </c>
      <c r="J246" s="85">
        <f t="shared" si="51"/>
        <v>0</v>
      </c>
      <c r="L246" s="86"/>
      <c r="M246" s="86"/>
      <c r="N246" s="86"/>
    </row>
    <row r="247" spans="2:14" ht="15.75" x14ac:dyDescent="0.25">
      <c r="B247" s="54">
        <f>IF(D247&lt;&gt;"",COUNTA($D$203:D247),"")</f>
        <v>43</v>
      </c>
      <c r="D247" s="51" t="s">
        <v>56</v>
      </c>
      <c r="G247" s="85">
        <v>6.2500000000000003E-3</v>
      </c>
      <c r="H247" s="85">
        <v>6.2500000000000003E-3</v>
      </c>
      <c r="J247" s="85">
        <f t="shared" si="51"/>
        <v>0</v>
      </c>
      <c r="L247" s="86"/>
      <c r="M247" s="86"/>
      <c r="N247" s="86"/>
    </row>
    <row r="248" spans="2:14" ht="15.75" x14ac:dyDescent="0.25">
      <c r="B248" s="54">
        <f>IF(D248&lt;&gt;"",COUNTA($D$203:D248),"")</f>
        <v>44</v>
      </c>
      <c r="D248" s="51" t="s">
        <v>57</v>
      </c>
      <c r="G248" s="85">
        <v>-3.6999999999999999E-4</v>
      </c>
      <c r="H248" s="85">
        <v>-3.6999999999999999E-4</v>
      </c>
      <c r="J248" s="85">
        <f t="shared" si="51"/>
        <v>0</v>
      </c>
      <c r="L248" s="86"/>
      <c r="M248" s="86"/>
      <c r="N248" s="86"/>
    </row>
    <row r="249" spans="2:14" ht="15.75" x14ac:dyDescent="0.25">
      <c r="B249" s="54">
        <f>IF(D249&lt;&gt;"",COUNTA($D$203:D249),"")</f>
        <v>45</v>
      </c>
      <c r="D249" s="51" t="s">
        <v>58</v>
      </c>
      <c r="G249" s="85">
        <v>3.0000000000000001E-5</v>
      </c>
      <c r="H249" s="85">
        <v>3.0000000000000001E-5</v>
      </c>
      <c r="J249" s="85">
        <f t="shared" si="51"/>
        <v>0</v>
      </c>
      <c r="L249" s="86"/>
      <c r="M249" s="86"/>
      <c r="N249" s="86"/>
    </row>
    <row r="250" spans="2:14" ht="15.75" x14ac:dyDescent="0.25">
      <c r="B250" s="54">
        <f>IF(D250&lt;&gt;"",COUNTA($D$203:D250),"")</f>
        <v>46</v>
      </c>
      <c r="D250" s="51" t="s">
        <v>59</v>
      </c>
      <c r="G250" s="85">
        <v>9.5999999999999992E-3</v>
      </c>
      <c r="H250" s="85">
        <v>9.5999999999999992E-3</v>
      </c>
      <c r="J250" s="85">
        <f t="shared" si="51"/>
        <v>0</v>
      </c>
      <c r="L250" s="86"/>
      <c r="M250" s="86"/>
      <c r="N250" s="86"/>
    </row>
    <row r="251" spans="2:14" ht="15.75" x14ac:dyDescent="0.25">
      <c r="B251" s="54">
        <f>IF(D251&lt;&gt;"",COUNTA($D$203:D251),"")</f>
        <v>47</v>
      </c>
      <c r="D251" s="51" t="s">
        <v>60</v>
      </c>
      <c r="G251" s="85">
        <v>0</v>
      </c>
      <c r="H251" s="85">
        <v>0</v>
      </c>
      <c r="J251" s="85">
        <f t="shared" si="51"/>
        <v>0</v>
      </c>
      <c r="L251" s="86"/>
      <c r="M251" s="86"/>
      <c r="N251" s="86"/>
    </row>
    <row r="252" spans="2:14" ht="15.75" x14ac:dyDescent="0.25">
      <c r="B252" s="54">
        <f>IF(D252&lt;&gt;"",COUNTA($D$203:D252),"")</f>
        <v>48</v>
      </c>
      <c r="D252" s="51" t="s">
        <v>61</v>
      </c>
      <c r="G252" s="85">
        <v>-7.1000000000000002E-4</v>
      </c>
      <c r="H252" s="85">
        <v>-7.1000000000000002E-4</v>
      </c>
      <c r="J252" s="85">
        <f t="shared" si="51"/>
        <v>0</v>
      </c>
      <c r="L252" s="86"/>
      <c r="M252" s="86"/>
      <c r="N252" s="86"/>
    </row>
    <row r="253" spans="2:14" ht="15.75" x14ac:dyDescent="0.25">
      <c r="B253" s="54">
        <f>IF(D253&lt;&gt;"",COUNTA($D$203:D253),"")</f>
        <v>49</v>
      </c>
      <c r="D253" s="51" t="s">
        <v>62</v>
      </c>
      <c r="G253" s="85">
        <v>1.8000000000000001E-4</v>
      </c>
      <c r="H253" s="85">
        <v>1.8000000000000001E-4</v>
      </c>
      <c r="J253" s="85">
        <f t="shared" si="51"/>
        <v>0</v>
      </c>
      <c r="L253" s="86"/>
      <c r="M253" s="86"/>
      <c r="N253" s="86"/>
    </row>
    <row r="254" spans="2:14" ht="15.75" x14ac:dyDescent="0.25">
      <c r="B254" s="54">
        <f>IF(D254&lt;&gt;"",COUNTA($D$203:D254),"")</f>
        <v>50</v>
      </c>
      <c r="D254" s="51" t="s">
        <v>63</v>
      </c>
      <c r="G254" s="85">
        <v>-3.1E-4</v>
      </c>
      <c r="H254" s="85">
        <v>-3.1E-4</v>
      </c>
      <c r="J254" s="85">
        <f t="shared" si="51"/>
        <v>0</v>
      </c>
      <c r="L254" s="86"/>
      <c r="M254" s="86"/>
      <c r="N254" s="86"/>
    </row>
    <row r="255" spans="2:14" ht="15.75" x14ac:dyDescent="0.25">
      <c r="B255" s="54">
        <f>IF(D255&lt;&gt;"",COUNTA($D$203:D255),"")</f>
        <v>51</v>
      </c>
      <c r="D255" s="51" t="s">
        <v>64</v>
      </c>
      <c r="G255" s="85">
        <v>1.39E-3</v>
      </c>
      <c r="H255" s="85">
        <v>1.39E-3</v>
      </c>
      <c r="J255" s="85">
        <f t="shared" si="51"/>
        <v>0</v>
      </c>
      <c r="L255" s="86"/>
      <c r="M255" s="86"/>
      <c r="N255" s="86"/>
    </row>
    <row r="256" spans="2:14" ht="15.75" x14ac:dyDescent="0.25">
      <c r="B256" s="54">
        <f>IF(D256&lt;&gt;"",COUNTA($D$203:D256),"")</f>
        <v>52</v>
      </c>
      <c r="D256" s="51" t="s">
        <v>65</v>
      </c>
      <c r="G256" s="85">
        <v>-9.2000000000000003E-4</v>
      </c>
      <c r="H256" s="85">
        <v>-9.2000000000000003E-4</v>
      </c>
      <c r="J256" s="85">
        <f t="shared" si="51"/>
        <v>0</v>
      </c>
      <c r="L256" s="86"/>
      <c r="M256" s="86"/>
      <c r="N256" s="86"/>
    </row>
    <row r="257" spans="2:14" ht="15.75" x14ac:dyDescent="0.25">
      <c r="B257" s="54">
        <f>IF(D257&lt;&gt;"",COUNTA($D$203:D257),"")</f>
        <v>53</v>
      </c>
      <c r="D257" s="51" t="s">
        <v>66</v>
      </c>
      <c r="G257" s="85">
        <v>2.8E-3</v>
      </c>
      <c r="H257" s="85">
        <v>2.8E-3</v>
      </c>
      <c r="J257" s="85">
        <f>+H257-G257</f>
        <v>0</v>
      </c>
      <c r="L257" s="86"/>
      <c r="M257" s="86"/>
      <c r="N257" s="86"/>
    </row>
    <row r="258" spans="2:14" ht="15.75" x14ac:dyDescent="0.25">
      <c r="B258" s="54">
        <f>IF(D258&lt;&gt;"",COUNTA($D$203:D258),"")</f>
        <v>54</v>
      </c>
      <c r="D258" s="51" t="s">
        <v>67</v>
      </c>
      <c r="G258" s="85">
        <v>8.7899999999999992E-3</v>
      </c>
      <c r="H258" s="85">
        <v>8.7899999999999992E-3</v>
      </c>
      <c r="J258" s="85">
        <f>+H258-G258</f>
        <v>0</v>
      </c>
      <c r="L258" s="86"/>
      <c r="M258" s="86"/>
      <c r="N258" s="86"/>
    </row>
    <row r="259" spans="2:14" ht="15.75" x14ac:dyDescent="0.25">
      <c r="B259" s="54">
        <f>IF(D259&lt;&gt;"",COUNTA($D$203:D259),"")</f>
        <v>55</v>
      </c>
      <c r="D259" s="51" t="s">
        <v>68</v>
      </c>
      <c r="G259" s="85">
        <v>1.6000000000000001E-4</v>
      </c>
      <c r="H259" s="85">
        <v>1.6000000000000001E-4</v>
      </c>
      <c r="J259" s="85">
        <f>+H259-G259</f>
        <v>0</v>
      </c>
      <c r="L259" s="86"/>
      <c r="M259" s="86"/>
      <c r="N259" s="86"/>
    </row>
    <row r="260" spans="2:14" ht="15.75" x14ac:dyDescent="0.25">
      <c r="B260" s="54">
        <f>IF(D260&lt;&gt;"",COUNTA($D$203:D260),"")</f>
        <v>56</v>
      </c>
      <c r="D260" s="51" t="s">
        <v>69</v>
      </c>
      <c r="G260" s="85">
        <v>8.0000000000000007E-5</v>
      </c>
      <c r="H260" s="85">
        <v>8.0000000000000007E-5</v>
      </c>
      <c r="J260" s="85">
        <f>+H260-G260</f>
        <v>0</v>
      </c>
      <c r="L260" s="86"/>
      <c r="M260" s="86"/>
      <c r="N260" s="86"/>
    </row>
    <row r="261" spans="2:14" ht="15.75" x14ac:dyDescent="0.25">
      <c r="B261" s="54">
        <f>IF(D261&lt;&gt;"",COUNTA($D$203:D261),"")</f>
        <v>57</v>
      </c>
      <c r="D261" s="51" t="s">
        <v>70</v>
      </c>
      <c r="G261" s="85">
        <v>1.0000000000000001E-5</v>
      </c>
      <c r="H261" s="85">
        <v>1.0000000000000001E-5</v>
      </c>
      <c r="J261" s="85">
        <f t="shared" si="51"/>
        <v>0</v>
      </c>
      <c r="L261" s="86"/>
      <c r="M261" s="86"/>
      <c r="N261" s="86"/>
    </row>
    <row r="262" spans="2:14" ht="15.75" x14ac:dyDescent="0.25">
      <c r="B262" s="54">
        <f>IF(D262&lt;&gt;"",COUNTA($D$203:D262),"")</f>
        <v>58</v>
      </c>
      <c r="D262" s="51" t="s">
        <v>71</v>
      </c>
      <c r="G262" s="85">
        <v>1.0399999999999999E-3</v>
      </c>
      <c r="H262" s="85">
        <v>1.0399999999999999E-3</v>
      </c>
      <c r="J262" s="85">
        <f t="shared" si="51"/>
        <v>0</v>
      </c>
      <c r="L262" s="86"/>
      <c r="M262" s="86"/>
      <c r="N262" s="86"/>
    </row>
    <row r="263" spans="2:14" ht="15.75" x14ac:dyDescent="0.25">
      <c r="B263" s="54">
        <f>IF(D263&lt;&gt;"",COUNTA($D$203:D263),"")</f>
        <v>59</v>
      </c>
      <c r="D263" s="51" t="s">
        <v>72</v>
      </c>
      <c r="G263" s="85">
        <v>-7.6999999999999996E-4</v>
      </c>
      <c r="H263" s="85">
        <v>-7.6999999999999996E-4</v>
      </c>
      <c r="J263" s="85">
        <f t="shared" si="51"/>
        <v>0</v>
      </c>
      <c r="L263" s="86"/>
      <c r="M263" s="86"/>
      <c r="N263" s="86"/>
    </row>
    <row r="264" spans="2:14" ht="15.75" x14ac:dyDescent="0.25">
      <c r="B264" s="54">
        <f>IF(D264&lt;&gt;"",COUNTA($D$203:D264),"")</f>
        <v>60</v>
      </c>
      <c r="D264" s="51" t="s">
        <v>85</v>
      </c>
      <c r="G264" s="85">
        <v>1.4919999999999999E-2</v>
      </c>
      <c r="H264" s="85">
        <v>1.4919999999999999E-2</v>
      </c>
      <c r="J264" s="85">
        <f t="shared" si="51"/>
        <v>0</v>
      </c>
      <c r="L264" s="86"/>
      <c r="M264" s="86"/>
      <c r="N264" s="86"/>
    </row>
    <row r="265" spans="2:14" ht="15.75" x14ac:dyDescent="0.25">
      <c r="B265" s="54">
        <f>IF(D265&lt;&gt;"",COUNTA($D$203:D265),"")</f>
        <v>61</v>
      </c>
      <c r="D265" s="51" t="s">
        <v>86</v>
      </c>
      <c r="G265" s="85">
        <v>4.6730000000000001E-2</v>
      </c>
      <c r="H265" s="85">
        <v>4.6730000000000001E-2</v>
      </c>
      <c r="J265" s="85">
        <f t="shared" si="51"/>
        <v>0</v>
      </c>
      <c r="L265" s="86"/>
      <c r="M265" s="86"/>
      <c r="N265" s="86"/>
    </row>
    <row r="266" spans="2:14" ht="15.75" x14ac:dyDescent="0.25">
      <c r="B266" s="54">
        <f>IF(D266&lt;&gt;"",COUNTA($D$203:D266),"")</f>
        <v>62</v>
      </c>
      <c r="D266" s="51" t="s">
        <v>74</v>
      </c>
      <c r="G266" s="85">
        <v>3.4880000000000001E-2</v>
      </c>
      <c r="H266" s="85">
        <v>4.2039999999999994E-2</v>
      </c>
      <c r="J266" s="85">
        <f t="shared" si="51"/>
        <v>7.1599999999999928E-3</v>
      </c>
      <c r="L266" s="86"/>
      <c r="M266" s="86"/>
      <c r="N266" s="86"/>
    </row>
    <row r="267" spans="2:14" ht="15.75" x14ac:dyDescent="0.25">
      <c r="B267" s="54">
        <f>IF(D267&lt;&gt;"",COUNTA($D$203:D267),"")</f>
        <v>63</v>
      </c>
      <c r="D267" s="51" t="s">
        <v>75</v>
      </c>
      <c r="G267" s="85">
        <v>2.5000000000000001E-3</v>
      </c>
      <c r="H267" s="85">
        <v>2.5000000000000001E-3</v>
      </c>
      <c r="J267" s="85">
        <f t="shared" si="51"/>
        <v>0</v>
      </c>
      <c r="L267" s="86"/>
      <c r="M267" s="86"/>
      <c r="N267" s="86"/>
    </row>
    <row r="268" spans="2:14" ht="15.75" x14ac:dyDescent="0.25">
      <c r="B268" s="54">
        <f>IF(D268&lt;&gt;"",COUNTA($D$203:D268),"")</f>
        <v>64</v>
      </c>
      <c r="D268" s="51" t="s">
        <v>76</v>
      </c>
      <c r="G268" s="85">
        <v>5.0000000000000001E-4</v>
      </c>
      <c r="H268" s="85">
        <v>5.0000000000000001E-4</v>
      </c>
      <c r="J268" s="85">
        <f t="shared" si="51"/>
        <v>0</v>
      </c>
      <c r="L268" s="86"/>
      <c r="M268" s="86"/>
      <c r="N268" s="86"/>
    </row>
    <row r="269" spans="2:14" ht="15.75" x14ac:dyDescent="0.25">
      <c r="B269" s="54">
        <f>IF(D269&lt;&gt;"",COUNTA($D$203:D269),"")</f>
        <v>65</v>
      </c>
      <c r="D269" s="51" t="s">
        <v>77</v>
      </c>
      <c r="G269" s="85">
        <v>0.1658</v>
      </c>
      <c r="H269" s="85">
        <v>0.1658</v>
      </c>
      <c r="J269" s="85">
        <f t="shared" si="51"/>
        <v>0</v>
      </c>
      <c r="L269"/>
      <c r="M269"/>
      <c r="N269"/>
    </row>
    <row r="270" spans="2:14" x14ac:dyDescent="0.2">
      <c r="B270" s="54">
        <f>IF(D270&lt;&gt;"",COUNTA($D$203:D270),"")</f>
        <v>66</v>
      </c>
      <c r="D270" s="51" t="s">
        <v>87</v>
      </c>
      <c r="G270" s="93">
        <v>0.42</v>
      </c>
      <c r="H270" s="93">
        <v>0.42</v>
      </c>
      <c r="J270" s="93">
        <f>+H270-G270</f>
        <v>0</v>
      </c>
    </row>
    <row r="273" spans="2:15" ht="15.75" x14ac:dyDescent="0.25">
      <c r="B273" s="92" t="str">
        <f>$B$3</f>
        <v>Cape Light Compact JPE</v>
      </c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</row>
    <row r="274" spans="2:15" ht="15.75" x14ac:dyDescent="0.25">
      <c r="B274" s="92" t="str">
        <f>$B$4</f>
        <v>Calculation of Monthly Typical Bill</v>
      </c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</row>
    <row r="275" spans="2:15" ht="15.75" x14ac:dyDescent="0.25">
      <c r="B275" s="92" t="str">
        <f>$B$5</f>
        <v>Proposed January 1, 2027</v>
      </c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</row>
    <row r="276" spans="2:15" ht="15.75" x14ac:dyDescent="0.25"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</row>
    <row r="277" spans="2:15" ht="15.75" x14ac:dyDescent="0.25">
      <c r="B277" s="49" t="s">
        <v>21</v>
      </c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</row>
    <row r="278" spans="2:15" ht="15.75" x14ac:dyDescent="0.25">
      <c r="B278" s="50"/>
      <c r="C278" s="50"/>
      <c r="D278" s="51"/>
      <c r="E278" s="51"/>
      <c r="F278" s="51"/>
      <c r="G278" s="52"/>
      <c r="H278" s="51"/>
      <c r="I278"/>
      <c r="J278"/>
      <c r="K278"/>
      <c r="L278"/>
      <c r="M278"/>
      <c r="N278"/>
    </row>
    <row r="279" spans="2:15" ht="15.75" x14ac:dyDescent="0.25">
      <c r="B279" s="50"/>
      <c r="C279" s="50"/>
      <c r="D279" s="51"/>
      <c r="E279" s="51"/>
      <c r="F279" s="51"/>
      <c r="G279" s="53"/>
      <c r="H279" s="51"/>
      <c r="I279"/>
      <c r="J279"/>
      <c r="K279"/>
      <c r="L279"/>
      <c r="M279"/>
      <c r="N279"/>
    </row>
    <row r="280" spans="2:15" ht="15.75" x14ac:dyDescent="0.25">
      <c r="B280" s="54">
        <f>IF(D280&lt;&gt;"",COUNTA($D$280:D280),"")</f>
        <v>1</v>
      </c>
      <c r="C280" s="54"/>
      <c r="D280" s="50" t="s">
        <v>40</v>
      </c>
      <c r="E280" s="50"/>
      <c r="F280" s="56" t="str">
        <f>$F$10</f>
        <v>2026 In Effect</v>
      </c>
      <c r="G280" s="56"/>
      <c r="H280" s="56"/>
      <c r="I280" s="51"/>
      <c r="J280" s="56" t="str">
        <f>$J$10</f>
        <v>2027 Proposed</v>
      </c>
      <c r="K280" s="57"/>
      <c r="L280" s="57"/>
      <c r="M280"/>
      <c r="N280" s="57" t="str">
        <f>$N$10</f>
        <v>Total Bill Impact</v>
      </c>
      <c r="O280" s="57"/>
    </row>
    <row r="281" spans="2:15" ht="15.75" x14ac:dyDescent="0.25">
      <c r="B281" s="54">
        <f>IF(D281&lt;&gt;"",COUNTA($D$280:D281),"")</f>
        <v>2</v>
      </c>
      <c r="C281" s="54"/>
      <c r="D281" s="58" t="s">
        <v>42</v>
      </c>
      <c r="E281" s="58"/>
      <c r="F281" s="58" t="str">
        <f>F$11</f>
        <v>Delivery</v>
      </c>
      <c r="G281" s="58" t="str">
        <f>G$11</f>
        <v>Supplier</v>
      </c>
      <c r="H281" s="58" t="str">
        <f>H$11</f>
        <v>Total</v>
      </c>
      <c r="I281" s="51"/>
      <c r="J281" s="58" t="str">
        <f>J$11</f>
        <v>Delivery</v>
      </c>
      <c r="K281" s="58" t="str">
        <f>K$11</f>
        <v>Supplier</v>
      </c>
      <c r="L281" s="58" t="str">
        <f>L$11</f>
        <v>Total</v>
      </c>
      <c r="M281"/>
      <c r="N281" s="58" t="str">
        <f>N$11</f>
        <v>Change</v>
      </c>
      <c r="O281" s="58" t="str">
        <f>O$11</f>
        <v>% Change</v>
      </c>
    </row>
    <row r="282" spans="2:15" x14ac:dyDescent="0.2">
      <c r="B282" s="54">
        <f>IF(D282&lt;&gt;"",COUNTA($D$280:D282),"")</f>
        <v>3</v>
      </c>
      <c r="C282" s="54"/>
      <c r="D282" s="60">
        <v>100</v>
      </c>
      <c r="E282" s="60"/>
      <c r="F282" s="61">
        <f t="shared" ref="F282:F295" si="52">ROUND($D282*(SUM($G$301:$G$327))+$G$300,2)</f>
        <v>29.35</v>
      </c>
      <c r="G282" s="61">
        <f t="shared" ref="G282:G295" si="53">ROUND($G$328*D282,2)</f>
        <v>16.579999999999998</v>
      </c>
      <c r="H282" s="61">
        <f t="shared" ref="H282:H295" si="54">SUM(F282:G282)</f>
        <v>45.93</v>
      </c>
      <c r="I282" s="66"/>
      <c r="J282" s="61">
        <f t="shared" ref="J282:J295" si="55">ROUND($D282*(SUM($H$301:$H$327))+$H$300,2)</f>
        <v>30.06</v>
      </c>
      <c r="K282" s="61">
        <f t="shared" ref="K282:K295" si="56">ROUND($H$328*D282,2)</f>
        <v>16.579999999999998</v>
      </c>
      <c r="L282" s="61">
        <f t="shared" ref="L282:L295" si="57">SUM(J282:K282)</f>
        <v>46.64</v>
      </c>
      <c r="M282" s="66"/>
      <c r="N282" s="61">
        <f t="shared" ref="N282:N295" si="58">+L282-H282</f>
        <v>0.71000000000000085</v>
      </c>
      <c r="O282" s="62">
        <f t="shared" ref="O282:O295" si="59">+N282/H282</f>
        <v>1.545830611800568E-2</v>
      </c>
    </row>
    <row r="283" spans="2:15" x14ac:dyDescent="0.2">
      <c r="B283" s="54">
        <f>IF(D283&lt;&gt;"",COUNTA($D$280:D283),"")</f>
        <v>4</v>
      </c>
      <c r="C283" s="54"/>
      <c r="D283" s="60">
        <v>200</v>
      </c>
      <c r="E283" s="60"/>
      <c r="F283" s="61">
        <f t="shared" si="52"/>
        <v>48.69</v>
      </c>
      <c r="G283" s="61">
        <f t="shared" si="53"/>
        <v>33.159999999999997</v>
      </c>
      <c r="H283" s="61">
        <f t="shared" si="54"/>
        <v>81.849999999999994</v>
      </c>
      <c r="I283" s="66"/>
      <c r="J283" s="61">
        <f t="shared" si="55"/>
        <v>50.13</v>
      </c>
      <c r="K283" s="61">
        <f t="shared" si="56"/>
        <v>33.159999999999997</v>
      </c>
      <c r="L283" s="61">
        <f t="shared" si="57"/>
        <v>83.289999999999992</v>
      </c>
      <c r="M283" s="66"/>
      <c r="N283" s="61">
        <f t="shared" si="58"/>
        <v>1.4399999999999977</v>
      </c>
      <c r="O283" s="62">
        <f t="shared" si="59"/>
        <v>1.7593158216249211E-2</v>
      </c>
    </row>
    <row r="284" spans="2:15" x14ac:dyDescent="0.2">
      <c r="B284" s="54">
        <f>IF(D284&lt;&gt;"",COUNTA($D$280:D284),"")</f>
        <v>5</v>
      </c>
      <c r="C284" s="54"/>
      <c r="D284" s="60">
        <v>300</v>
      </c>
      <c r="E284" s="60"/>
      <c r="F284" s="61">
        <f t="shared" si="52"/>
        <v>68.040000000000006</v>
      </c>
      <c r="G284" s="61">
        <f t="shared" si="53"/>
        <v>49.74</v>
      </c>
      <c r="H284" s="61">
        <f t="shared" si="54"/>
        <v>117.78</v>
      </c>
      <c r="I284" s="66"/>
      <c r="J284" s="61">
        <f t="shared" si="55"/>
        <v>70.19</v>
      </c>
      <c r="K284" s="61">
        <f t="shared" si="56"/>
        <v>49.74</v>
      </c>
      <c r="L284" s="61">
        <f t="shared" si="57"/>
        <v>119.93</v>
      </c>
      <c r="M284" s="66"/>
      <c r="N284" s="61">
        <f t="shared" si="58"/>
        <v>2.1500000000000057</v>
      </c>
      <c r="O284" s="62">
        <f t="shared" si="59"/>
        <v>1.8254372559008369E-2</v>
      </c>
    </row>
    <row r="285" spans="2:15" x14ac:dyDescent="0.2">
      <c r="B285" s="54">
        <f>IF(D285&lt;&gt;"",COUNTA($D$280:D285),"")</f>
        <v>6</v>
      </c>
      <c r="C285" s="54"/>
      <c r="D285" s="60">
        <v>400</v>
      </c>
      <c r="E285" s="60"/>
      <c r="F285" s="61">
        <f t="shared" si="52"/>
        <v>87.39</v>
      </c>
      <c r="G285" s="61">
        <f t="shared" si="53"/>
        <v>66.319999999999993</v>
      </c>
      <c r="H285" s="61">
        <f t="shared" si="54"/>
        <v>153.70999999999998</v>
      </c>
      <c r="I285" s="66"/>
      <c r="J285" s="61">
        <f t="shared" si="55"/>
        <v>90.25</v>
      </c>
      <c r="K285" s="61">
        <f t="shared" si="56"/>
        <v>66.319999999999993</v>
      </c>
      <c r="L285" s="61">
        <f t="shared" si="57"/>
        <v>156.57</v>
      </c>
      <c r="M285" s="66"/>
      <c r="N285" s="61">
        <f t="shared" si="58"/>
        <v>2.8600000000000136</v>
      </c>
      <c r="O285" s="62">
        <f t="shared" si="59"/>
        <v>1.860646672304999E-2</v>
      </c>
    </row>
    <row r="286" spans="2:15" x14ac:dyDescent="0.2">
      <c r="B286" s="54">
        <f>IF(D286&lt;&gt;"",COUNTA($D$280:D286),"")</f>
        <v>7</v>
      </c>
      <c r="C286" s="54"/>
      <c r="D286" s="60">
        <v>500</v>
      </c>
      <c r="E286" s="60"/>
      <c r="F286" s="61">
        <f t="shared" si="52"/>
        <v>106.74</v>
      </c>
      <c r="G286" s="61">
        <f t="shared" si="53"/>
        <v>82.9</v>
      </c>
      <c r="H286" s="61">
        <f t="shared" si="54"/>
        <v>189.64</v>
      </c>
      <c r="I286" s="66"/>
      <c r="J286" s="61">
        <f t="shared" si="55"/>
        <v>110.32</v>
      </c>
      <c r="K286" s="61">
        <f t="shared" si="56"/>
        <v>82.9</v>
      </c>
      <c r="L286" s="61">
        <f t="shared" si="57"/>
        <v>193.22</v>
      </c>
      <c r="M286" s="66"/>
      <c r="N286" s="61">
        <f t="shared" si="58"/>
        <v>3.5800000000000125</v>
      </c>
      <c r="O286" s="62">
        <f t="shared" si="59"/>
        <v>1.8877873866273005E-2</v>
      </c>
    </row>
    <row r="287" spans="2:15" x14ac:dyDescent="0.2">
      <c r="B287" s="54">
        <f>IF(D287&lt;&gt;"",COUNTA($D$280:D287),"")</f>
        <v>8</v>
      </c>
      <c r="C287" s="54"/>
      <c r="D287" s="60">
        <v>600</v>
      </c>
      <c r="E287" s="60"/>
      <c r="F287" s="61">
        <f t="shared" si="52"/>
        <v>126.08</v>
      </c>
      <c r="G287" s="61">
        <f t="shared" si="53"/>
        <v>99.48</v>
      </c>
      <c r="H287" s="61">
        <f t="shared" si="54"/>
        <v>225.56</v>
      </c>
      <c r="I287" s="66"/>
      <c r="J287" s="61">
        <f t="shared" si="55"/>
        <v>130.38</v>
      </c>
      <c r="K287" s="61">
        <f t="shared" si="56"/>
        <v>99.48</v>
      </c>
      <c r="L287" s="61">
        <f t="shared" si="57"/>
        <v>229.86</v>
      </c>
      <c r="M287" s="66"/>
      <c r="N287" s="61">
        <f t="shared" si="58"/>
        <v>4.3000000000000114</v>
      </c>
      <c r="O287" s="62">
        <f t="shared" si="59"/>
        <v>1.9063663770172067E-2</v>
      </c>
    </row>
    <row r="288" spans="2:15" x14ac:dyDescent="0.2">
      <c r="B288" s="54">
        <f>IF(D288&lt;&gt;"",COUNTA($D$280:D288),"")</f>
        <v>9</v>
      </c>
      <c r="C288" s="54"/>
      <c r="D288" s="60">
        <v>700</v>
      </c>
      <c r="E288" s="60"/>
      <c r="F288" s="61">
        <f t="shared" si="52"/>
        <v>145.43</v>
      </c>
      <c r="G288" s="61">
        <f t="shared" si="53"/>
        <v>116.06</v>
      </c>
      <c r="H288" s="61">
        <f t="shared" si="54"/>
        <v>261.49</v>
      </c>
      <c r="I288" s="66"/>
      <c r="J288" s="61">
        <f t="shared" si="55"/>
        <v>150.44</v>
      </c>
      <c r="K288" s="61">
        <f t="shared" si="56"/>
        <v>116.06</v>
      </c>
      <c r="L288" s="61">
        <f t="shared" si="57"/>
        <v>266.5</v>
      </c>
      <c r="M288" s="66"/>
      <c r="N288" s="61">
        <f t="shared" si="58"/>
        <v>5.0099999999999909</v>
      </c>
      <c r="O288" s="62">
        <f t="shared" si="59"/>
        <v>1.915943248307771E-2</v>
      </c>
    </row>
    <row r="289" spans="2:18" x14ac:dyDescent="0.2">
      <c r="B289" s="54">
        <f>IF(D289&lt;&gt;"",COUNTA($D$280:D289),"")</f>
        <v>10</v>
      </c>
      <c r="C289" s="54"/>
      <c r="D289" s="60">
        <v>800</v>
      </c>
      <c r="E289" s="60"/>
      <c r="F289" s="61">
        <f t="shared" si="52"/>
        <v>164.78</v>
      </c>
      <c r="G289" s="61">
        <f t="shared" si="53"/>
        <v>132.63999999999999</v>
      </c>
      <c r="H289" s="61">
        <f t="shared" si="54"/>
        <v>297.41999999999996</v>
      </c>
      <c r="I289" s="66"/>
      <c r="J289" s="61">
        <f t="shared" si="55"/>
        <v>170.5</v>
      </c>
      <c r="K289" s="61">
        <f t="shared" si="56"/>
        <v>132.63999999999999</v>
      </c>
      <c r="L289" s="61">
        <f t="shared" si="57"/>
        <v>303.14</v>
      </c>
      <c r="M289" s="66"/>
      <c r="N289" s="61">
        <f t="shared" si="58"/>
        <v>5.7200000000000273</v>
      </c>
      <c r="O289" s="62">
        <f t="shared" si="59"/>
        <v>1.9232062403335446E-2</v>
      </c>
    </row>
    <row r="290" spans="2:18" x14ac:dyDescent="0.2">
      <c r="B290" s="54">
        <f>IF(D290&lt;&gt;"",COUNTA($D$280:D290),"")</f>
        <v>11</v>
      </c>
      <c r="C290" s="54"/>
      <c r="D290" s="60">
        <v>900</v>
      </c>
      <c r="E290" s="60"/>
      <c r="F290" s="61">
        <f t="shared" si="52"/>
        <v>184.12</v>
      </c>
      <c r="G290" s="61">
        <f t="shared" si="53"/>
        <v>149.22</v>
      </c>
      <c r="H290" s="61">
        <f t="shared" si="54"/>
        <v>333.34000000000003</v>
      </c>
      <c r="I290" s="66"/>
      <c r="J290" s="61">
        <f t="shared" si="55"/>
        <v>190.57</v>
      </c>
      <c r="K290" s="61">
        <f t="shared" si="56"/>
        <v>149.22</v>
      </c>
      <c r="L290" s="61">
        <f t="shared" si="57"/>
        <v>339.78999999999996</v>
      </c>
      <c r="M290" s="66"/>
      <c r="N290" s="61">
        <f t="shared" si="58"/>
        <v>6.4499999999999318</v>
      </c>
      <c r="O290" s="62">
        <f t="shared" si="59"/>
        <v>1.934961300773964E-2</v>
      </c>
    </row>
    <row r="291" spans="2:18" x14ac:dyDescent="0.2">
      <c r="B291" s="54">
        <f>IF(D291&lt;&gt;"",COUNTA($D$280:D291),"")</f>
        <v>12</v>
      </c>
      <c r="C291" s="54"/>
      <c r="D291" s="60">
        <v>1000</v>
      </c>
      <c r="E291" s="60"/>
      <c r="F291" s="61">
        <f t="shared" si="52"/>
        <v>203.47</v>
      </c>
      <c r="G291" s="61">
        <f t="shared" si="53"/>
        <v>165.8</v>
      </c>
      <c r="H291" s="61">
        <f t="shared" si="54"/>
        <v>369.27</v>
      </c>
      <c r="I291" s="66"/>
      <c r="J291" s="61">
        <f t="shared" si="55"/>
        <v>210.63</v>
      </c>
      <c r="K291" s="61">
        <f t="shared" si="56"/>
        <v>165.8</v>
      </c>
      <c r="L291" s="61">
        <f t="shared" si="57"/>
        <v>376.43</v>
      </c>
      <c r="M291" s="66"/>
      <c r="N291" s="61">
        <f t="shared" si="58"/>
        <v>7.160000000000025</v>
      </c>
      <c r="O291" s="62">
        <f t="shared" si="59"/>
        <v>1.9389606520973882E-2</v>
      </c>
    </row>
    <row r="292" spans="2:18" x14ac:dyDescent="0.2">
      <c r="B292" s="54">
        <f>IF(D292&lt;&gt;"",COUNTA($D$280:D292),"")</f>
        <v>13</v>
      </c>
      <c r="C292" s="54"/>
      <c r="D292" s="60">
        <v>1250</v>
      </c>
      <c r="E292" s="60"/>
      <c r="F292" s="61">
        <f t="shared" si="52"/>
        <v>251.84</v>
      </c>
      <c r="G292" s="61">
        <f t="shared" si="53"/>
        <v>207.25</v>
      </c>
      <c r="H292" s="61">
        <f t="shared" si="54"/>
        <v>459.09000000000003</v>
      </c>
      <c r="I292" s="66"/>
      <c r="J292" s="61">
        <f t="shared" si="55"/>
        <v>260.79000000000002</v>
      </c>
      <c r="K292" s="61">
        <f t="shared" si="56"/>
        <v>207.25</v>
      </c>
      <c r="L292" s="61">
        <f t="shared" si="57"/>
        <v>468.04</v>
      </c>
      <c r="M292" s="66"/>
      <c r="N292" s="61">
        <f t="shared" si="58"/>
        <v>8.9499999999999886</v>
      </c>
      <c r="O292" s="62">
        <f t="shared" si="59"/>
        <v>1.9495088109085339E-2</v>
      </c>
    </row>
    <row r="293" spans="2:18" x14ac:dyDescent="0.2">
      <c r="B293" s="54">
        <f>IF(D293&lt;&gt;"",COUNTA($D$280:D293),"")</f>
        <v>14</v>
      </c>
      <c r="C293" s="54"/>
      <c r="D293" s="60">
        <v>1500</v>
      </c>
      <c r="E293" s="60"/>
      <c r="F293" s="61">
        <f t="shared" si="52"/>
        <v>300.20999999999998</v>
      </c>
      <c r="G293" s="61">
        <f t="shared" si="53"/>
        <v>248.7</v>
      </c>
      <c r="H293" s="61">
        <f t="shared" si="54"/>
        <v>548.91</v>
      </c>
      <c r="I293" s="66"/>
      <c r="J293" s="61">
        <f t="shared" si="55"/>
        <v>310.95</v>
      </c>
      <c r="K293" s="61">
        <f t="shared" si="56"/>
        <v>248.7</v>
      </c>
      <c r="L293" s="61">
        <f t="shared" si="57"/>
        <v>559.65</v>
      </c>
      <c r="M293" s="66"/>
      <c r="N293" s="61">
        <f t="shared" si="58"/>
        <v>10.740000000000009</v>
      </c>
      <c r="O293" s="62">
        <f t="shared" si="59"/>
        <v>1.9566049079084019E-2</v>
      </c>
    </row>
    <row r="294" spans="2:18" x14ac:dyDescent="0.2">
      <c r="B294" s="54">
        <f>IF(D294&lt;&gt;"",COUNTA($D$280:D294),"")</f>
        <v>15</v>
      </c>
      <c r="C294" s="54"/>
      <c r="D294" s="60">
        <v>2000</v>
      </c>
      <c r="E294" s="60"/>
      <c r="F294" s="61">
        <f t="shared" si="52"/>
        <v>396.94</v>
      </c>
      <c r="G294" s="61">
        <f t="shared" si="53"/>
        <v>331.6</v>
      </c>
      <c r="H294" s="61">
        <f t="shared" si="54"/>
        <v>728.54</v>
      </c>
      <c r="I294" s="66"/>
      <c r="J294" s="61">
        <f t="shared" si="55"/>
        <v>411.26</v>
      </c>
      <c r="K294" s="61">
        <f t="shared" si="56"/>
        <v>331.6</v>
      </c>
      <c r="L294" s="61">
        <f t="shared" si="57"/>
        <v>742.86</v>
      </c>
      <c r="M294" s="66"/>
      <c r="N294" s="61">
        <f t="shared" si="58"/>
        <v>14.32000000000005</v>
      </c>
      <c r="O294" s="62">
        <f t="shared" si="59"/>
        <v>1.9655749855876207E-2</v>
      </c>
    </row>
    <row r="295" spans="2:18" x14ac:dyDescent="0.2">
      <c r="B295" s="54">
        <f>IF(D295&lt;&gt;"",COUNTA($D$280:D295),"")</f>
        <v>16</v>
      </c>
      <c r="C295" s="54" t="s">
        <v>47</v>
      </c>
      <c r="D295" s="60">
        <v>745</v>
      </c>
      <c r="E295" s="60"/>
      <c r="F295" s="61">
        <f t="shared" si="52"/>
        <v>154.13999999999999</v>
      </c>
      <c r="G295" s="61">
        <f t="shared" si="53"/>
        <v>123.52</v>
      </c>
      <c r="H295" s="61">
        <f t="shared" si="54"/>
        <v>277.65999999999997</v>
      </c>
      <c r="I295" s="66"/>
      <c r="J295" s="61">
        <f t="shared" si="55"/>
        <v>159.47</v>
      </c>
      <c r="K295" s="61">
        <f t="shared" si="56"/>
        <v>123.52</v>
      </c>
      <c r="L295" s="61">
        <f t="shared" si="57"/>
        <v>282.99</v>
      </c>
      <c r="M295" s="66"/>
      <c r="N295" s="61">
        <f t="shared" si="58"/>
        <v>5.3300000000000409</v>
      </c>
      <c r="O295" s="62">
        <f t="shared" si="59"/>
        <v>1.9196139163005263E-2</v>
      </c>
    </row>
    <row r="296" spans="2:18" ht="15.75" x14ac:dyDescent="0.25">
      <c r="B296" s="54" t="str">
        <f>IF(D296&lt;&gt;"",COUNTA($D$280:D296),"")</f>
        <v/>
      </c>
      <c r="C296" s="54"/>
      <c r="D296" s="67"/>
      <c r="E296" s="68"/>
      <c r="F296" s="68"/>
      <c r="G296" s="68"/>
      <c r="H296" s="70"/>
      <c r="I296" s="68"/>
      <c r="J296" s="68"/>
      <c r="K296" s="68"/>
      <c r="L296" s="70"/>
      <c r="M296" s="70"/>
      <c r="N296"/>
    </row>
    <row r="297" spans="2:18" ht="15.75" x14ac:dyDescent="0.25">
      <c r="B297" s="54" t="str">
        <f>IF(D297&lt;&gt;"",COUNTA($D$280:D297),"")</f>
        <v/>
      </c>
      <c r="C297" s="54"/>
      <c r="D297" s="67"/>
      <c r="E297" s="70"/>
      <c r="F297" s="68"/>
      <c r="G297" s="68"/>
      <c r="H297" s="70"/>
      <c r="I297" s="68"/>
      <c r="J297" s="68"/>
      <c r="K297" s="68"/>
      <c r="L297" s="70"/>
      <c r="M297" s="70"/>
      <c r="N297"/>
    </row>
    <row r="298" spans="2:18" ht="15.75" x14ac:dyDescent="0.25">
      <c r="B298" s="54">
        <f>IF(D298&lt;&gt;"",COUNTA($D$280:D298),"")</f>
        <v>17</v>
      </c>
      <c r="C298" s="54"/>
      <c r="D298" s="71" t="s">
        <v>27</v>
      </c>
      <c r="E298" s="66"/>
      <c r="F298" s="66"/>
      <c r="G298" s="89" t="str">
        <f>$G$28</f>
        <v>2026 In Effect</v>
      </c>
      <c r="H298" s="89" t="str">
        <f>$H$28</f>
        <v>2027 Proposed</v>
      </c>
      <c r="J298" s="75"/>
      <c r="K298" s="66"/>
      <c r="L298" s="66"/>
      <c r="M298" s="66"/>
      <c r="N298"/>
    </row>
    <row r="299" spans="2:18" ht="15.75" x14ac:dyDescent="0.25">
      <c r="B299" s="54">
        <f>IF(D299&lt;&gt;"",COUNTA($D$280:D299),"")</f>
        <v>18</v>
      </c>
      <c r="C299" s="54"/>
      <c r="D299" s="71" t="s">
        <v>27</v>
      </c>
      <c r="E299" s="66"/>
      <c r="F299" s="66"/>
      <c r="G299" s="78" t="s">
        <v>48</v>
      </c>
      <c r="H299" s="78" t="s">
        <v>48</v>
      </c>
      <c r="J299" s="78" t="s">
        <v>46</v>
      </c>
      <c r="K299" s="66"/>
      <c r="L299" s="66"/>
      <c r="M299" s="66"/>
      <c r="N299"/>
    </row>
    <row r="300" spans="2:18" ht="15.75" x14ac:dyDescent="0.25">
      <c r="B300" s="54">
        <f>IF(D300&lt;&gt;"",COUNTA($D$280:D300),"")</f>
        <v>19</v>
      </c>
      <c r="C300" s="54"/>
      <c r="D300" s="51" t="s">
        <v>49</v>
      </c>
      <c r="E300" s="66"/>
      <c r="F300" s="66"/>
      <c r="G300" s="81">
        <v>10</v>
      </c>
      <c r="H300" s="81">
        <v>10</v>
      </c>
      <c r="J300" s="81">
        <f t="shared" ref="J300:J328" si="60">+H300-G300</f>
        <v>0</v>
      </c>
      <c r="K300" s="66"/>
      <c r="L300" s="66"/>
      <c r="M300" s="66"/>
      <c r="N300"/>
    </row>
    <row r="301" spans="2:18" ht="15.75" x14ac:dyDescent="0.25">
      <c r="B301" s="54">
        <f>IF(D301&lt;&gt;"",COUNTA($D$280:D301),"")</f>
        <v>20</v>
      </c>
      <c r="C301" s="54"/>
      <c r="D301" s="51" t="s">
        <v>50</v>
      </c>
      <c r="E301" s="66"/>
      <c r="F301" s="66"/>
      <c r="G301" s="85">
        <v>5.8810000000000001E-2</v>
      </c>
      <c r="H301" s="85">
        <v>5.8810000000000001E-2</v>
      </c>
      <c r="J301" s="85">
        <f t="shared" si="60"/>
        <v>0</v>
      </c>
      <c r="K301" s="66"/>
      <c r="L301" s="66"/>
      <c r="M301" s="66"/>
      <c r="N301"/>
      <c r="R301" s="87"/>
    </row>
    <row r="302" spans="2:18" ht="15.75" x14ac:dyDescent="0.25">
      <c r="B302" s="54">
        <f>IF(D302&lt;&gt;"",COUNTA($D$280:D302),"")</f>
        <v>21</v>
      </c>
      <c r="C302" s="54"/>
      <c r="D302" s="51" t="s">
        <v>51</v>
      </c>
      <c r="E302" s="66"/>
      <c r="F302" s="66"/>
      <c r="G302" s="85">
        <v>-1.0000000000000001E-5</v>
      </c>
      <c r="H302" s="85">
        <v>-1.0000000000000001E-5</v>
      </c>
      <c r="J302" s="85">
        <f t="shared" si="60"/>
        <v>0</v>
      </c>
      <c r="K302" s="66"/>
      <c r="L302" s="66"/>
      <c r="M302" s="66"/>
      <c r="N302"/>
    </row>
    <row r="303" spans="2:18" ht="15.75" x14ac:dyDescent="0.25">
      <c r="B303" s="54">
        <f>IF(D303&lt;&gt;"",COUNTA($D$280:D303),"")</f>
        <v>22</v>
      </c>
      <c r="C303" s="54"/>
      <c r="D303" s="51" t="s">
        <v>52</v>
      </c>
      <c r="E303" s="66"/>
      <c r="F303" s="66"/>
      <c r="G303" s="85">
        <v>5.2700000000000004E-3</v>
      </c>
      <c r="H303" s="85">
        <v>5.2700000000000004E-3</v>
      </c>
      <c r="J303" s="85">
        <f t="shared" si="60"/>
        <v>0</v>
      </c>
      <c r="K303" s="66"/>
      <c r="L303" s="66"/>
      <c r="M303" s="66"/>
      <c r="N303"/>
    </row>
    <row r="304" spans="2:18" ht="15.75" x14ac:dyDescent="0.25">
      <c r="B304" s="54">
        <f>IF(D304&lt;&gt;"",COUNTA($D$280:D304),"")</f>
        <v>23</v>
      </c>
      <c r="C304" s="54"/>
      <c r="D304" s="88" t="s">
        <v>53</v>
      </c>
      <c r="E304" s="66"/>
      <c r="F304" s="66"/>
      <c r="G304" s="85">
        <v>5.8300000000000001E-3</v>
      </c>
      <c r="H304" s="85">
        <v>5.8300000000000001E-3</v>
      </c>
      <c r="J304" s="85">
        <f t="shared" si="60"/>
        <v>0</v>
      </c>
      <c r="K304" s="66"/>
      <c r="L304" s="66"/>
      <c r="M304" s="66"/>
      <c r="N304"/>
    </row>
    <row r="305" spans="2:17" ht="15.75" x14ac:dyDescent="0.25">
      <c r="B305" s="54">
        <f>IF(D305&lt;&gt;"",COUNTA($D$280:D305),"")</f>
        <v>24</v>
      </c>
      <c r="C305" s="54"/>
      <c r="D305" s="51" t="s">
        <v>54</v>
      </c>
      <c r="E305" s="66"/>
      <c r="F305" s="66"/>
      <c r="G305" s="85">
        <v>1.0330000000000001E-2</v>
      </c>
      <c r="H305" s="85">
        <v>1.0330000000000001E-2</v>
      </c>
      <c r="J305" s="85">
        <f t="shared" si="60"/>
        <v>0</v>
      </c>
      <c r="K305" s="66"/>
      <c r="L305" s="66"/>
      <c r="M305" s="66"/>
      <c r="N305"/>
    </row>
    <row r="306" spans="2:17" ht="15.75" x14ac:dyDescent="0.25">
      <c r="B306" s="54">
        <f>IF(D306&lt;&gt;"",COUNTA($D$280:D306),"")</f>
        <v>25</v>
      </c>
      <c r="C306" s="54"/>
      <c r="D306" s="51" t="s">
        <v>55</v>
      </c>
      <c r="E306" s="66"/>
      <c r="F306" s="66"/>
      <c r="G306" s="85">
        <v>1.3799999999999999E-3</v>
      </c>
      <c r="H306" s="85">
        <v>1.3799999999999999E-3</v>
      </c>
      <c r="J306" s="85">
        <f t="shared" si="60"/>
        <v>0</v>
      </c>
      <c r="K306" s="66"/>
      <c r="L306" s="66"/>
      <c r="M306" s="66"/>
      <c r="N306"/>
    </row>
    <row r="307" spans="2:17" ht="15.75" x14ac:dyDescent="0.25">
      <c r="B307" s="54">
        <f>IF(D307&lt;&gt;"",COUNTA($D$280:D307),"")</f>
        <v>26</v>
      </c>
      <c r="C307" s="54"/>
      <c r="D307" s="51" t="s">
        <v>56</v>
      </c>
      <c r="E307" s="66"/>
      <c r="F307" s="66"/>
      <c r="G307" s="85">
        <v>6.2500000000000003E-3</v>
      </c>
      <c r="H307" s="85">
        <v>6.2500000000000003E-3</v>
      </c>
      <c r="J307" s="85">
        <f t="shared" si="60"/>
        <v>0</v>
      </c>
      <c r="K307" s="66"/>
      <c r="L307" s="66"/>
      <c r="M307" s="66"/>
      <c r="N307"/>
    </row>
    <row r="308" spans="2:17" ht="15.75" x14ac:dyDescent="0.25">
      <c r="B308" s="54">
        <f>IF(D308&lt;&gt;"",COUNTA($D$280:D308),"")</f>
        <v>27</v>
      </c>
      <c r="C308" s="54"/>
      <c r="D308" s="51" t="s">
        <v>57</v>
      </c>
      <c r="E308" s="66"/>
      <c r="F308" s="66"/>
      <c r="G308" s="85">
        <v>-3.6999999999999999E-4</v>
      </c>
      <c r="H308" s="85">
        <v>-3.6999999999999999E-4</v>
      </c>
      <c r="J308" s="85">
        <f t="shared" si="60"/>
        <v>0</v>
      </c>
      <c r="K308" s="66"/>
      <c r="L308" s="66"/>
      <c r="M308" s="66"/>
      <c r="N308"/>
      <c r="Q308" s="46" t="s">
        <v>27</v>
      </c>
    </row>
    <row r="309" spans="2:17" ht="15.75" x14ac:dyDescent="0.25">
      <c r="B309" s="54">
        <f>IF(D309&lt;&gt;"",COUNTA($D$280:D309),"")</f>
        <v>28</v>
      </c>
      <c r="C309" s="54"/>
      <c r="D309" s="51" t="s">
        <v>58</v>
      </c>
      <c r="E309" s="66"/>
      <c r="F309" s="66"/>
      <c r="G309" s="85">
        <v>3.0000000000000001E-5</v>
      </c>
      <c r="H309" s="85">
        <v>3.0000000000000001E-5</v>
      </c>
      <c r="J309" s="85">
        <f t="shared" si="60"/>
        <v>0</v>
      </c>
      <c r="K309" s="66"/>
      <c r="L309" s="66"/>
      <c r="M309" s="66"/>
      <c r="N309"/>
    </row>
    <row r="310" spans="2:17" ht="15.75" x14ac:dyDescent="0.25">
      <c r="B310" s="54">
        <f>IF(D310&lt;&gt;"",COUNTA($D$280:D310),"")</f>
        <v>29</v>
      </c>
      <c r="C310" s="54"/>
      <c r="D310" s="51" t="s">
        <v>59</v>
      </c>
      <c r="E310" s="66"/>
      <c r="F310" s="66"/>
      <c r="G310" s="85">
        <v>9.5999999999999992E-3</v>
      </c>
      <c r="H310" s="85">
        <v>9.5999999999999992E-3</v>
      </c>
      <c r="J310" s="85">
        <f t="shared" si="60"/>
        <v>0</v>
      </c>
      <c r="K310" s="66"/>
      <c r="L310" s="66"/>
      <c r="M310" s="66"/>
      <c r="N310"/>
    </row>
    <row r="311" spans="2:17" ht="15.75" x14ac:dyDescent="0.25">
      <c r="B311" s="54">
        <f>IF(D311&lt;&gt;"",COUNTA($D$280:D311),"")</f>
        <v>30</v>
      </c>
      <c r="C311" s="54"/>
      <c r="D311" s="51" t="s">
        <v>60</v>
      </c>
      <c r="E311" s="66"/>
      <c r="F311" s="66"/>
      <c r="G311" s="85">
        <v>0</v>
      </c>
      <c r="H311" s="85">
        <v>0</v>
      </c>
      <c r="J311" s="85">
        <f t="shared" si="60"/>
        <v>0</v>
      </c>
      <c r="K311" s="66"/>
      <c r="L311" s="66"/>
      <c r="M311" s="66"/>
      <c r="N311"/>
    </row>
    <row r="312" spans="2:17" ht="15.75" x14ac:dyDescent="0.25">
      <c r="B312" s="54">
        <f>IF(D312&lt;&gt;"",COUNTA($D$280:D312),"")</f>
        <v>31</v>
      </c>
      <c r="C312" s="54"/>
      <c r="D312" s="51" t="s">
        <v>61</v>
      </c>
      <c r="E312" s="66"/>
      <c r="F312" s="66"/>
      <c r="G312" s="85">
        <v>-7.1000000000000002E-4</v>
      </c>
      <c r="H312" s="85">
        <v>-7.1000000000000002E-4</v>
      </c>
      <c r="J312" s="85">
        <f t="shared" si="60"/>
        <v>0</v>
      </c>
      <c r="K312" s="66"/>
      <c r="L312" s="66"/>
      <c r="M312" s="66"/>
      <c r="N312"/>
    </row>
    <row r="313" spans="2:17" ht="15.75" x14ac:dyDescent="0.25">
      <c r="B313" s="54">
        <f>IF(D313&lt;&gt;"",COUNTA($D$280:D313),"")</f>
        <v>32</v>
      </c>
      <c r="C313" s="54"/>
      <c r="D313" s="51" t="s">
        <v>62</v>
      </c>
      <c r="E313" s="66"/>
      <c r="F313" s="66"/>
      <c r="G313" s="85">
        <v>1.8000000000000001E-4</v>
      </c>
      <c r="H313" s="85">
        <v>1.8000000000000001E-4</v>
      </c>
      <c r="J313" s="85">
        <f t="shared" si="60"/>
        <v>0</v>
      </c>
      <c r="K313" s="66"/>
      <c r="L313" s="66"/>
      <c r="M313" s="66"/>
      <c r="N313"/>
    </row>
    <row r="314" spans="2:17" ht="15.75" x14ac:dyDescent="0.25">
      <c r="B314" s="54">
        <f>IF(D314&lt;&gt;"",COUNTA($D$280:D314),"")</f>
        <v>33</v>
      </c>
      <c r="C314" s="54"/>
      <c r="D314" s="51" t="s">
        <v>63</v>
      </c>
      <c r="E314" s="66"/>
      <c r="F314" s="66"/>
      <c r="G314" s="85">
        <v>-3.1E-4</v>
      </c>
      <c r="H314" s="85">
        <v>-3.1E-4</v>
      </c>
      <c r="J314" s="85">
        <f t="shared" si="60"/>
        <v>0</v>
      </c>
      <c r="K314" s="66"/>
      <c r="L314" s="66"/>
      <c r="M314" s="66"/>
      <c r="N314"/>
    </row>
    <row r="315" spans="2:17" ht="15.75" x14ac:dyDescent="0.25">
      <c r="B315" s="54">
        <f>IF(D315&lt;&gt;"",COUNTA($D$280:D315),"")</f>
        <v>34</v>
      </c>
      <c r="C315" s="54"/>
      <c r="D315" s="51" t="s">
        <v>64</v>
      </c>
      <c r="E315" s="66"/>
      <c r="F315" s="66"/>
      <c r="G315" s="85">
        <v>1.39E-3</v>
      </c>
      <c r="H315" s="85">
        <v>1.39E-3</v>
      </c>
      <c r="J315" s="85">
        <f t="shared" si="60"/>
        <v>0</v>
      </c>
      <c r="K315" s="66"/>
      <c r="L315" s="66"/>
      <c r="M315" s="66"/>
      <c r="N315"/>
    </row>
    <row r="316" spans="2:17" ht="15.75" x14ac:dyDescent="0.25">
      <c r="B316" s="54">
        <f>IF(D316&lt;&gt;"",COUNTA($D$280:D316),"")</f>
        <v>35</v>
      </c>
      <c r="C316" s="54"/>
      <c r="D316" s="51" t="s">
        <v>65</v>
      </c>
      <c r="E316" s="66"/>
      <c r="F316" s="66"/>
      <c r="G316" s="85">
        <v>-9.2000000000000003E-4</v>
      </c>
      <c r="H316" s="85">
        <v>-9.2000000000000003E-4</v>
      </c>
      <c r="J316" s="85">
        <f t="shared" si="60"/>
        <v>0</v>
      </c>
      <c r="K316" s="66"/>
      <c r="L316" s="66"/>
      <c r="M316" s="66"/>
      <c r="N316"/>
    </row>
    <row r="317" spans="2:17" ht="15.75" x14ac:dyDescent="0.25">
      <c r="B317" s="54">
        <f>IF(D317&lt;&gt;"",COUNTA($D$280:D317),"")</f>
        <v>36</v>
      </c>
      <c r="C317" s="54"/>
      <c r="D317" s="51" t="s">
        <v>66</v>
      </c>
      <c r="E317" s="66"/>
      <c r="F317" s="66"/>
      <c r="G317" s="85">
        <v>2.8E-3</v>
      </c>
      <c r="H317" s="85">
        <v>2.8E-3</v>
      </c>
      <c r="J317" s="85">
        <f t="shared" si="60"/>
        <v>0</v>
      </c>
      <c r="K317" s="66"/>
      <c r="L317" s="66"/>
      <c r="M317" s="66"/>
      <c r="N317"/>
    </row>
    <row r="318" spans="2:17" ht="15.75" x14ac:dyDescent="0.25">
      <c r="B318" s="54">
        <f>IF(D318&lt;&gt;"",COUNTA($D$280:D318),"")</f>
        <v>37</v>
      </c>
      <c r="C318" s="54"/>
      <c r="D318" s="51" t="s">
        <v>67</v>
      </c>
      <c r="E318" s="66"/>
      <c r="F318" s="66"/>
      <c r="G318" s="85">
        <v>8.7899999999999992E-3</v>
      </c>
      <c r="H318" s="85">
        <v>8.7899999999999992E-3</v>
      </c>
      <c r="J318" s="85">
        <f t="shared" si="60"/>
        <v>0</v>
      </c>
      <c r="K318" s="66"/>
      <c r="L318" s="66"/>
      <c r="M318" s="66"/>
      <c r="N318"/>
    </row>
    <row r="319" spans="2:17" ht="15.75" x14ac:dyDescent="0.25">
      <c r="B319" s="54">
        <f>IF(D319&lt;&gt;"",COUNTA($D$280:D319),"")</f>
        <v>38</v>
      </c>
      <c r="C319" s="54"/>
      <c r="D319" s="51" t="s">
        <v>68</v>
      </c>
      <c r="E319" s="66"/>
      <c r="F319" s="66"/>
      <c r="G319" s="85">
        <v>1.6000000000000001E-4</v>
      </c>
      <c r="H319" s="85">
        <v>1.6000000000000001E-4</v>
      </c>
      <c r="J319" s="85">
        <f>+H319-G319</f>
        <v>0</v>
      </c>
      <c r="K319" s="66"/>
      <c r="L319" s="66"/>
      <c r="M319" s="66"/>
      <c r="N319"/>
    </row>
    <row r="320" spans="2:17" ht="15.75" x14ac:dyDescent="0.25">
      <c r="B320" s="54">
        <f>IF(D320&lt;&gt;"",COUNTA($D$280:D320),"")</f>
        <v>39</v>
      </c>
      <c r="C320" s="54"/>
      <c r="D320" s="51" t="s">
        <v>69</v>
      </c>
      <c r="E320" s="66"/>
      <c r="F320" s="66"/>
      <c r="G320" s="85">
        <v>8.0000000000000007E-5</v>
      </c>
      <c r="H320" s="85">
        <v>8.0000000000000007E-5</v>
      </c>
      <c r="J320" s="85">
        <f>+H320-G320</f>
        <v>0</v>
      </c>
      <c r="K320" s="66"/>
      <c r="L320" s="66"/>
      <c r="M320" s="66"/>
      <c r="N320"/>
    </row>
    <row r="321" spans="2:15" ht="15.75" x14ac:dyDescent="0.25">
      <c r="B321" s="54">
        <f>IF(D321&lt;&gt;"",COUNTA($D$280:D321),"")</f>
        <v>40</v>
      </c>
      <c r="C321" s="54"/>
      <c r="D321" s="51" t="s">
        <v>70</v>
      </c>
      <c r="E321" s="66"/>
      <c r="F321" s="66"/>
      <c r="G321" s="85">
        <v>1.0000000000000001E-5</v>
      </c>
      <c r="H321" s="85">
        <v>1.0000000000000001E-5</v>
      </c>
      <c r="J321" s="85">
        <f>+H321-G321</f>
        <v>0</v>
      </c>
      <c r="K321" s="66"/>
      <c r="L321" s="66"/>
      <c r="M321" s="66"/>
      <c r="N321"/>
    </row>
    <row r="322" spans="2:15" ht="15.75" x14ac:dyDescent="0.25">
      <c r="B322" s="54">
        <f>IF(D322&lt;&gt;"",COUNTA($D$280:D322),"")</f>
        <v>41</v>
      </c>
      <c r="C322" s="54"/>
      <c r="D322" s="51" t="s">
        <v>71</v>
      </c>
      <c r="E322" s="66"/>
      <c r="F322" s="66"/>
      <c r="G322" s="85">
        <v>1.0399999999999999E-3</v>
      </c>
      <c r="H322" s="85">
        <v>1.0399999999999999E-3</v>
      </c>
      <c r="J322" s="85">
        <f>+H322-G322</f>
        <v>0</v>
      </c>
      <c r="K322" s="66"/>
      <c r="L322" s="66"/>
      <c r="M322" s="66"/>
      <c r="N322"/>
    </row>
    <row r="323" spans="2:15" ht="15.75" x14ac:dyDescent="0.25">
      <c r="B323" s="54">
        <f>IF(D323&lt;&gt;"",COUNTA($D$280:D323),"")</f>
        <v>42</v>
      </c>
      <c r="C323" s="54"/>
      <c r="D323" s="51" t="s">
        <v>72</v>
      </c>
      <c r="E323" s="66"/>
      <c r="F323" s="66"/>
      <c r="G323" s="85">
        <v>-7.6999999999999996E-4</v>
      </c>
      <c r="H323" s="85">
        <v>-7.6999999999999996E-4</v>
      </c>
      <c r="J323" s="85">
        <f t="shared" si="60"/>
        <v>0</v>
      </c>
      <c r="K323" s="66"/>
      <c r="L323" s="66"/>
      <c r="M323" s="66"/>
      <c r="N323"/>
    </row>
    <row r="324" spans="2:15" ht="15.75" x14ac:dyDescent="0.25">
      <c r="B324" s="54">
        <f>IF(D324&lt;&gt;"",COUNTA($D$280:D324),"")</f>
        <v>43</v>
      </c>
      <c r="C324" s="54"/>
      <c r="D324" s="51" t="s">
        <v>73</v>
      </c>
      <c r="E324" s="66"/>
      <c r="F324" s="66"/>
      <c r="G324" s="85">
        <v>4.6730000000000001E-2</v>
      </c>
      <c r="H324" s="85">
        <v>4.6730000000000001E-2</v>
      </c>
      <c r="J324" s="85">
        <f t="shared" si="60"/>
        <v>0</v>
      </c>
      <c r="K324" s="66"/>
      <c r="L324" s="66"/>
      <c r="M324" s="66"/>
      <c r="N324"/>
    </row>
    <row r="325" spans="2:15" ht="15.75" x14ac:dyDescent="0.25">
      <c r="B325" s="54">
        <f>IF(D325&lt;&gt;"",COUNTA($D$280:D325),"")</f>
        <v>44</v>
      </c>
      <c r="C325" s="54"/>
      <c r="D325" s="51" t="s">
        <v>74</v>
      </c>
      <c r="E325" s="66"/>
      <c r="F325" s="66"/>
      <c r="G325" s="85">
        <v>3.4880000000000001E-2</v>
      </c>
      <c r="H325" s="85">
        <v>4.2039999999999994E-2</v>
      </c>
      <c r="J325" s="85">
        <f t="shared" si="60"/>
        <v>7.1599999999999928E-3</v>
      </c>
      <c r="K325" s="66"/>
      <c r="L325" s="66"/>
      <c r="M325" s="66"/>
      <c r="N325"/>
    </row>
    <row r="326" spans="2:15" ht="15.75" x14ac:dyDescent="0.25">
      <c r="B326" s="54">
        <f>IF(D326&lt;&gt;"",COUNTA($D$280:D326),"")</f>
        <v>45</v>
      </c>
      <c r="C326" s="54"/>
      <c r="D326" s="51" t="s">
        <v>75</v>
      </c>
      <c r="E326" s="66"/>
      <c r="F326" s="66"/>
      <c r="G326" s="85">
        <v>2.5000000000000001E-3</v>
      </c>
      <c r="H326" s="85">
        <v>2.5000000000000001E-3</v>
      </c>
      <c r="J326" s="85">
        <f t="shared" si="60"/>
        <v>0</v>
      </c>
      <c r="K326" s="66"/>
      <c r="L326" s="66"/>
      <c r="M326" s="66"/>
      <c r="N326"/>
    </row>
    <row r="327" spans="2:15" ht="15.75" x14ac:dyDescent="0.25">
      <c r="B327" s="54">
        <f>IF(D327&lt;&gt;"",COUNTA($D$280:D327),"")</f>
        <v>46</v>
      </c>
      <c r="C327" s="54"/>
      <c r="D327" s="51" t="s">
        <v>76</v>
      </c>
      <c r="E327" s="66"/>
      <c r="F327" s="66"/>
      <c r="G327" s="85">
        <v>5.0000000000000001E-4</v>
      </c>
      <c r="H327" s="85">
        <v>5.0000000000000001E-4</v>
      </c>
      <c r="J327" s="85">
        <f t="shared" si="60"/>
        <v>0</v>
      </c>
      <c r="K327" s="66"/>
      <c r="L327" s="66"/>
      <c r="M327" s="66"/>
      <c r="N327"/>
    </row>
    <row r="328" spans="2:15" ht="15.75" x14ac:dyDescent="0.25">
      <c r="B328" s="54">
        <f>IF(D328&lt;&gt;"",COUNTA($D$280:D328),"")</f>
        <v>47</v>
      </c>
      <c r="C328" s="54"/>
      <c r="D328" s="84" t="s">
        <v>77</v>
      </c>
      <c r="E328" s="66"/>
      <c r="F328" s="66"/>
      <c r="G328" s="85">
        <v>0.1658</v>
      </c>
      <c r="H328" s="85">
        <v>0.1658</v>
      </c>
      <c r="J328" s="85">
        <f t="shared" si="60"/>
        <v>0</v>
      </c>
      <c r="K328" s="66"/>
      <c r="L328" s="66"/>
      <c r="M328" s="66"/>
      <c r="N328"/>
    </row>
    <row r="331" spans="2:15" ht="15.75" x14ac:dyDescent="0.25">
      <c r="B331" s="92" t="str">
        <f>$B$3</f>
        <v>Cape Light Compact JPE</v>
      </c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</row>
    <row r="332" spans="2:15" ht="15.75" x14ac:dyDescent="0.25">
      <c r="B332" s="92" t="str">
        <f>$B$4</f>
        <v>Calculation of Monthly Typical Bill</v>
      </c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</row>
    <row r="333" spans="2:15" ht="15.75" x14ac:dyDescent="0.25">
      <c r="B333" s="92" t="str">
        <f>$B$5</f>
        <v>Proposed January 1, 2027</v>
      </c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</row>
    <row r="334" spans="2:15" ht="15.75" x14ac:dyDescent="0.25"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</row>
    <row r="335" spans="2:15" ht="15.75" x14ac:dyDescent="0.25">
      <c r="B335" s="92" t="s">
        <v>23</v>
      </c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</row>
    <row r="336" spans="2:15" ht="15.75" x14ac:dyDescent="0.25">
      <c r="B336" s="50"/>
      <c r="C336" s="50"/>
      <c r="D336" s="51"/>
      <c r="E336" s="51"/>
      <c r="F336" s="51"/>
      <c r="G336" s="52"/>
      <c r="H336" s="51"/>
      <c r="I336"/>
      <c r="J336"/>
      <c r="K336"/>
      <c r="L336"/>
      <c r="M336"/>
      <c r="N336"/>
    </row>
    <row r="337" spans="2:15" ht="15.75" x14ac:dyDescent="0.25">
      <c r="B337" s="50"/>
      <c r="C337" s="50"/>
      <c r="D337" s="51"/>
      <c r="E337" s="51"/>
      <c r="F337" s="51"/>
      <c r="G337" s="53"/>
      <c r="H337" s="51"/>
      <c r="I337"/>
      <c r="J337"/>
      <c r="K337"/>
      <c r="L337"/>
      <c r="M337"/>
      <c r="N337"/>
    </row>
    <row r="338" spans="2:15" ht="15.75" x14ac:dyDescent="0.25">
      <c r="B338" s="54">
        <f>IF(D338&lt;&gt;"",COUNTA($D$338:D338),"")</f>
        <v>1</v>
      </c>
      <c r="C338" s="54"/>
      <c r="D338" s="50" t="s">
        <v>40</v>
      </c>
      <c r="E338" s="50"/>
      <c r="F338" s="56" t="str">
        <f>$F$10</f>
        <v>2026 In Effect</v>
      </c>
      <c r="G338" s="56"/>
      <c r="H338" s="56"/>
      <c r="I338" s="51"/>
      <c r="J338" s="56" t="str">
        <f>$J$10</f>
        <v>2027 Proposed</v>
      </c>
      <c r="K338" s="57"/>
      <c r="L338" s="57"/>
      <c r="M338"/>
      <c r="N338" s="57" t="str">
        <f>$N$10</f>
        <v>Total Bill Impact</v>
      </c>
      <c r="O338" s="57"/>
    </row>
    <row r="339" spans="2:15" ht="15.75" x14ac:dyDescent="0.25">
      <c r="B339" s="54">
        <f>IF(D339&lt;&gt;"",COUNTA($D$338:D339),"")</f>
        <v>2</v>
      </c>
      <c r="C339" s="54"/>
      <c r="D339" s="58" t="s">
        <v>42</v>
      </c>
      <c r="E339" s="58"/>
      <c r="F339" s="58" t="str">
        <f>F$11</f>
        <v>Delivery</v>
      </c>
      <c r="G339" s="58" t="str">
        <f>G$11</f>
        <v>Supplier</v>
      </c>
      <c r="H339" s="58" t="str">
        <f>H$11</f>
        <v>Total</v>
      </c>
      <c r="I339" s="51"/>
      <c r="J339" s="58" t="str">
        <f>J$11</f>
        <v>Delivery</v>
      </c>
      <c r="K339" s="58" t="str">
        <f>K$11</f>
        <v>Supplier</v>
      </c>
      <c r="L339" s="58" t="str">
        <f>L$11</f>
        <v>Total</v>
      </c>
      <c r="M339"/>
      <c r="N339" s="58" t="str">
        <f>N$11</f>
        <v>Change</v>
      </c>
      <c r="O339" s="58" t="str">
        <f>O$11</f>
        <v>% Change</v>
      </c>
    </row>
    <row r="340" spans="2:15" x14ac:dyDescent="0.2">
      <c r="B340" s="54">
        <f>IF(D340&lt;&gt;"",COUNTA($D$338:D340),"")</f>
        <v>3</v>
      </c>
      <c r="C340" s="54"/>
      <c r="D340" s="60">
        <v>100</v>
      </c>
      <c r="E340" s="60"/>
      <c r="F340" s="61">
        <f t="shared" ref="F340:F353" si="61">ROUND(($D340*(SUM($G$359:$G$385))+$G$358)*(1-$G$387),2)</f>
        <v>17.02</v>
      </c>
      <c r="G340" s="61">
        <f t="shared" ref="G340:G353" si="62">ROUND(($G$386*$D340)*(1-$G$387),2)</f>
        <v>9.6199999999999992</v>
      </c>
      <c r="H340" s="61">
        <f t="shared" ref="H340:H353" si="63">SUM(F340:G340)</f>
        <v>26.64</v>
      </c>
      <c r="I340" s="66"/>
      <c r="J340" s="61">
        <f t="shared" ref="J340:J353" si="64">ROUND(($D340*(SUM($H$359:$H$385))+$H$358)*(1-$H$387),2)</f>
        <v>17.440000000000001</v>
      </c>
      <c r="K340" s="61">
        <f t="shared" ref="K340:K353" si="65">ROUND(($H$386*$D340)*(1-$H$387),2)</f>
        <v>9.6199999999999992</v>
      </c>
      <c r="L340" s="61">
        <f t="shared" ref="L340:L353" si="66">SUM(J340:K340)</f>
        <v>27.060000000000002</v>
      </c>
      <c r="M340" s="66"/>
      <c r="N340" s="61">
        <f t="shared" ref="N340:N353" si="67">+L340-H340</f>
        <v>0.42000000000000171</v>
      </c>
      <c r="O340" s="62">
        <f t="shared" ref="O340:O353" si="68">+N340/H340</f>
        <v>1.576576576576583E-2</v>
      </c>
    </row>
    <row r="341" spans="2:15" x14ac:dyDescent="0.2">
      <c r="B341" s="54">
        <f>IF(D341&lt;&gt;"",COUNTA($D$338:D341),"")</f>
        <v>4</v>
      </c>
      <c r="C341" s="54"/>
      <c r="D341" s="60">
        <v>200</v>
      </c>
      <c r="E341" s="60"/>
      <c r="F341" s="61">
        <f t="shared" si="61"/>
        <v>28.24</v>
      </c>
      <c r="G341" s="61">
        <f t="shared" si="62"/>
        <v>19.23</v>
      </c>
      <c r="H341" s="61">
        <f t="shared" si="63"/>
        <v>47.47</v>
      </c>
      <c r="I341" s="66"/>
      <c r="J341" s="61">
        <f t="shared" si="64"/>
        <v>29.07</v>
      </c>
      <c r="K341" s="61">
        <f t="shared" si="65"/>
        <v>19.23</v>
      </c>
      <c r="L341" s="61">
        <f t="shared" si="66"/>
        <v>48.3</v>
      </c>
      <c r="M341" s="66"/>
      <c r="N341" s="61">
        <f t="shared" si="67"/>
        <v>0.82999999999999829</v>
      </c>
      <c r="O341" s="62">
        <f t="shared" si="68"/>
        <v>1.7484727196123831E-2</v>
      </c>
    </row>
    <row r="342" spans="2:15" x14ac:dyDescent="0.2">
      <c r="B342" s="54">
        <f>IF(D342&lt;&gt;"",COUNTA($D$338:D342),"")</f>
        <v>5</v>
      </c>
      <c r="C342" s="54"/>
      <c r="D342" s="60">
        <v>300</v>
      </c>
      <c r="E342" s="60"/>
      <c r="F342" s="61">
        <f t="shared" si="61"/>
        <v>39.46</v>
      </c>
      <c r="G342" s="61">
        <f t="shared" si="62"/>
        <v>28.85</v>
      </c>
      <c r="H342" s="61">
        <f t="shared" si="63"/>
        <v>68.31</v>
      </c>
      <c r="I342" s="66"/>
      <c r="J342" s="61">
        <f t="shared" si="64"/>
        <v>40.71</v>
      </c>
      <c r="K342" s="61">
        <f t="shared" si="65"/>
        <v>28.85</v>
      </c>
      <c r="L342" s="61">
        <f t="shared" si="66"/>
        <v>69.56</v>
      </c>
      <c r="M342" s="66"/>
      <c r="N342" s="61">
        <f t="shared" si="67"/>
        <v>1.25</v>
      </c>
      <c r="O342" s="62">
        <f t="shared" si="68"/>
        <v>1.8298931342409602E-2</v>
      </c>
    </row>
    <row r="343" spans="2:15" x14ac:dyDescent="0.2">
      <c r="B343" s="54">
        <f>IF(D343&lt;&gt;"",COUNTA($D$338:D343),"")</f>
        <v>6</v>
      </c>
      <c r="C343" s="54"/>
      <c r="D343" s="60">
        <v>400</v>
      </c>
      <c r="E343" s="60"/>
      <c r="F343" s="61">
        <f t="shared" si="61"/>
        <v>50.69</v>
      </c>
      <c r="G343" s="61">
        <f t="shared" si="62"/>
        <v>38.47</v>
      </c>
      <c r="H343" s="61">
        <f t="shared" si="63"/>
        <v>89.16</v>
      </c>
      <c r="I343" s="66"/>
      <c r="J343" s="61">
        <f t="shared" si="64"/>
        <v>52.35</v>
      </c>
      <c r="K343" s="61">
        <f t="shared" si="65"/>
        <v>38.47</v>
      </c>
      <c r="L343" s="61">
        <f t="shared" si="66"/>
        <v>90.82</v>
      </c>
      <c r="M343" s="66"/>
      <c r="N343" s="61">
        <f t="shared" si="67"/>
        <v>1.6599999999999966</v>
      </c>
      <c r="O343" s="62">
        <f t="shared" si="68"/>
        <v>1.8618214445939845E-2</v>
      </c>
    </row>
    <row r="344" spans="2:15" x14ac:dyDescent="0.2">
      <c r="B344" s="54">
        <f>IF(D344&lt;&gt;"",COUNTA($D$338:D344),"")</f>
        <v>7</v>
      </c>
      <c r="C344" s="54"/>
      <c r="D344" s="60">
        <v>500</v>
      </c>
      <c r="E344" s="60"/>
      <c r="F344" s="61">
        <f t="shared" si="61"/>
        <v>61.91</v>
      </c>
      <c r="G344" s="61">
        <f t="shared" si="62"/>
        <v>48.08</v>
      </c>
      <c r="H344" s="61">
        <f t="shared" si="63"/>
        <v>109.99</v>
      </c>
      <c r="I344" s="66"/>
      <c r="J344" s="61">
        <f t="shared" si="64"/>
        <v>63.98</v>
      </c>
      <c r="K344" s="61">
        <f t="shared" si="65"/>
        <v>48.08</v>
      </c>
      <c r="L344" s="61">
        <f t="shared" si="66"/>
        <v>112.06</v>
      </c>
      <c r="M344" s="66"/>
      <c r="N344" s="61">
        <f t="shared" si="67"/>
        <v>2.0700000000000074</v>
      </c>
      <c r="O344" s="62">
        <f t="shared" si="68"/>
        <v>1.8819892717519843E-2</v>
      </c>
    </row>
    <row r="345" spans="2:15" x14ac:dyDescent="0.2">
      <c r="B345" s="54">
        <f>IF(D345&lt;&gt;"",COUNTA($D$338:D345),"")</f>
        <v>8</v>
      </c>
      <c r="C345" s="54"/>
      <c r="D345" s="60">
        <v>600</v>
      </c>
      <c r="E345" s="60"/>
      <c r="F345" s="61">
        <f t="shared" si="61"/>
        <v>73.13</v>
      </c>
      <c r="G345" s="61">
        <f t="shared" si="62"/>
        <v>57.7</v>
      </c>
      <c r="H345" s="61">
        <f t="shared" si="63"/>
        <v>130.82999999999998</v>
      </c>
      <c r="I345" s="66"/>
      <c r="J345" s="61">
        <f t="shared" si="64"/>
        <v>75.62</v>
      </c>
      <c r="K345" s="61">
        <f t="shared" si="65"/>
        <v>57.7</v>
      </c>
      <c r="L345" s="61">
        <f t="shared" si="66"/>
        <v>133.32</v>
      </c>
      <c r="M345" s="66"/>
      <c r="N345" s="61">
        <f t="shared" si="67"/>
        <v>2.4900000000000091</v>
      </c>
      <c r="O345" s="62">
        <f t="shared" si="68"/>
        <v>1.9032332033937241E-2</v>
      </c>
    </row>
    <row r="346" spans="2:15" x14ac:dyDescent="0.2">
      <c r="B346" s="54">
        <f>IF(D346&lt;&gt;"",COUNTA($D$338:D346),"")</f>
        <v>9</v>
      </c>
      <c r="C346" s="54"/>
      <c r="D346" s="60">
        <v>700</v>
      </c>
      <c r="E346" s="60"/>
      <c r="F346" s="61">
        <f t="shared" si="61"/>
        <v>84.35</v>
      </c>
      <c r="G346" s="61">
        <f t="shared" si="62"/>
        <v>67.31</v>
      </c>
      <c r="H346" s="61">
        <f t="shared" si="63"/>
        <v>151.66</v>
      </c>
      <c r="I346" s="66"/>
      <c r="J346" s="61">
        <f t="shared" si="64"/>
        <v>87.26</v>
      </c>
      <c r="K346" s="61">
        <f t="shared" si="65"/>
        <v>67.31</v>
      </c>
      <c r="L346" s="61">
        <f t="shared" si="66"/>
        <v>154.57</v>
      </c>
      <c r="M346" s="66"/>
      <c r="N346" s="61">
        <f t="shared" si="67"/>
        <v>2.9099999999999966</v>
      </c>
      <c r="O346" s="62">
        <f t="shared" si="68"/>
        <v>1.91876566002901E-2</v>
      </c>
    </row>
    <row r="347" spans="2:15" x14ac:dyDescent="0.2">
      <c r="B347" s="54">
        <f>IF(D347&lt;&gt;"",COUNTA($D$338:D347),"")</f>
        <v>10</v>
      </c>
      <c r="C347" s="54"/>
      <c r="D347" s="60">
        <v>800</v>
      </c>
      <c r="E347" s="60"/>
      <c r="F347" s="61">
        <f t="shared" si="61"/>
        <v>95.57</v>
      </c>
      <c r="G347" s="61">
        <f t="shared" si="62"/>
        <v>76.930000000000007</v>
      </c>
      <c r="H347" s="61">
        <f t="shared" si="63"/>
        <v>172.5</v>
      </c>
      <c r="I347" s="66"/>
      <c r="J347" s="61">
        <f t="shared" si="64"/>
        <v>98.89</v>
      </c>
      <c r="K347" s="61">
        <f t="shared" si="65"/>
        <v>76.930000000000007</v>
      </c>
      <c r="L347" s="61">
        <f t="shared" si="66"/>
        <v>175.82</v>
      </c>
      <c r="M347" s="66"/>
      <c r="N347" s="61">
        <f t="shared" si="67"/>
        <v>3.3199999999999932</v>
      </c>
      <c r="O347" s="62">
        <f t="shared" si="68"/>
        <v>1.9246376811594162E-2</v>
      </c>
    </row>
    <row r="348" spans="2:15" x14ac:dyDescent="0.2">
      <c r="B348" s="54">
        <f>IF(D348&lt;&gt;"",COUNTA($D$338:D348),"")</f>
        <v>11</v>
      </c>
      <c r="C348" s="54"/>
      <c r="D348" s="60">
        <v>900</v>
      </c>
      <c r="E348" s="60"/>
      <c r="F348" s="61">
        <f t="shared" si="61"/>
        <v>106.79</v>
      </c>
      <c r="G348" s="61">
        <f t="shared" si="62"/>
        <v>86.55</v>
      </c>
      <c r="H348" s="61">
        <f t="shared" si="63"/>
        <v>193.34</v>
      </c>
      <c r="I348" s="66"/>
      <c r="J348" s="61">
        <f t="shared" si="64"/>
        <v>110.53</v>
      </c>
      <c r="K348" s="61">
        <f t="shared" si="65"/>
        <v>86.55</v>
      </c>
      <c r="L348" s="61">
        <f t="shared" si="66"/>
        <v>197.07999999999998</v>
      </c>
      <c r="M348" s="66"/>
      <c r="N348" s="61">
        <f t="shared" si="67"/>
        <v>3.7399999999999807</v>
      </c>
      <c r="O348" s="62">
        <f t="shared" si="68"/>
        <v>1.9344160546187962E-2</v>
      </c>
    </row>
    <row r="349" spans="2:15" x14ac:dyDescent="0.2">
      <c r="B349" s="54">
        <f>IF(D349&lt;&gt;"",COUNTA($D$338:D349),"")</f>
        <v>12</v>
      </c>
      <c r="C349" s="54"/>
      <c r="D349" s="60">
        <v>1000</v>
      </c>
      <c r="E349" s="60"/>
      <c r="F349" s="61">
        <f t="shared" si="61"/>
        <v>118.01</v>
      </c>
      <c r="G349" s="61">
        <f t="shared" si="62"/>
        <v>96.16</v>
      </c>
      <c r="H349" s="61">
        <f t="shared" si="63"/>
        <v>214.17000000000002</v>
      </c>
      <c r="I349" s="66"/>
      <c r="J349" s="61">
        <f t="shared" si="64"/>
        <v>122.17</v>
      </c>
      <c r="K349" s="61">
        <f t="shared" si="65"/>
        <v>96.16</v>
      </c>
      <c r="L349" s="61">
        <f t="shared" si="66"/>
        <v>218.32999999999998</v>
      </c>
      <c r="M349" s="66"/>
      <c r="N349" s="61">
        <f t="shared" si="67"/>
        <v>4.1599999999999682</v>
      </c>
      <c r="O349" s="62">
        <f t="shared" si="68"/>
        <v>1.9423822197319737E-2</v>
      </c>
    </row>
    <row r="350" spans="2:15" x14ac:dyDescent="0.2">
      <c r="B350" s="54">
        <f>IF(D350&lt;&gt;"",COUNTA($D$338:D350),"")</f>
        <v>13</v>
      </c>
      <c r="C350" s="54"/>
      <c r="D350" s="60">
        <v>1250</v>
      </c>
      <c r="E350" s="60"/>
      <c r="F350" s="61">
        <f t="shared" si="61"/>
        <v>146.07</v>
      </c>
      <c r="G350" s="61">
        <f t="shared" si="62"/>
        <v>120.21</v>
      </c>
      <c r="H350" s="61">
        <f t="shared" si="63"/>
        <v>266.27999999999997</v>
      </c>
      <c r="I350" s="66"/>
      <c r="J350" s="61">
        <f t="shared" si="64"/>
        <v>151.26</v>
      </c>
      <c r="K350" s="61">
        <f t="shared" si="65"/>
        <v>120.21</v>
      </c>
      <c r="L350" s="61">
        <f t="shared" si="66"/>
        <v>271.46999999999997</v>
      </c>
      <c r="M350" s="66"/>
      <c r="N350" s="61">
        <f t="shared" si="67"/>
        <v>5.1899999999999977</v>
      </c>
      <c r="O350" s="62">
        <f t="shared" si="68"/>
        <v>1.9490761604326265E-2</v>
      </c>
    </row>
    <row r="351" spans="2:15" x14ac:dyDescent="0.2">
      <c r="B351" s="54">
        <f>IF(D351&lt;&gt;"",COUNTA($D$338:D351),"")</f>
        <v>14</v>
      </c>
      <c r="C351" s="54"/>
      <c r="D351" s="60">
        <v>1500</v>
      </c>
      <c r="E351" s="60"/>
      <c r="F351" s="61">
        <f t="shared" si="61"/>
        <v>174.12</v>
      </c>
      <c r="G351" s="61">
        <f t="shared" si="62"/>
        <v>144.25</v>
      </c>
      <c r="H351" s="61">
        <f t="shared" si="63"/>
        <v>318.37</v>
      </c>
      <c r="I351" s="66"/>
      <c r="J351" s="61">
        <f t="shared" si="64"/>
        <v>180.35</v>
      </c>
      <c r="K351" s="61">
        <f t="shared" si="65"/>
        <v>144.25</v>
      </c>
      <c r="L351" s="61">
        <f t="shared" si="66"/>
        <v>324.60000000000002</v>
      </c>
      <c r="M351" s="66"/>
      <c r="N351" s="61">
        <f t="shared" si="67"/>
        <v>6.2300000000000182</v>
      </c>
      <c r="O351" s="62">
        <f t="shared" si="68"/>
        <v>1.9568426673367521E-2</v>
      </c>
    </row>
    <row r="352" spans="2:15" x14ac:dyDescent="0.2">
      <c r="B352" s="54">
        <f>IF(D352&lt;&gt;"",COUNTA($D$338:D352),"")</f>
        <v>15</v>
      </c>
      <c r="C352" s="54"/>
      <c r="D352" s="60">
        <v>2000</v>
      </c>
      <c r="E352" s="60"/>
      <c r="F352" s="61">
        <f t="shared" si="61"/>
        <v>230.23</v>
      </c>
      <c r="G352" s="61">
        <f t="shared" si="62"/>
        <v>192.33</v>
      </c>
      <c r="H352" s="61">
        <f t="shared" si="63"/>
        <v>422.56</v>
      </c>
      <c r="I352" s="66"/>
      <c r="J352" s="61">
        <f t="shared" si="64"/>
        <v>238.53</v>
      </c>
      <c r="K352" s="61">
        <f t="shared" si="65"/>
        <v>192.33</v>
      </c>
      <c r="L352" s="61">
        <f t="shared" si="66"/>
        <v>430.86</v>
      </c>
      <c r="M352" s="66"/>
      <c r="N352" s="61">
        <f t="shared" si="67"/>
        <v>8.3000000000000114</v>
      </c>
      <c r="O352" s="62">
        <f t="shared" si="68"/>
        <v>1.9642180992048494E-2</v>
      </c>
    </row>
    <row r="353" spans="2:15" x14ac:dyDescent="0.2">
      <c r="B353" s="54">
        <f>IF(D353&lt;&gt;"",COUNTA($D$338:D353),"")</f>
        <v>16</v>
      </c>
      <c r="C353" s="54" t="s">
        <v>47</v>
      </c>
      <c r="D353" s="60">
        <v>830</v>
      </c>
      <c r="E353" s="60"/>
      <c r="F353" s="61">
        <f t="shared" si="61"/>
        <v>98.94</v>
      </c>
      <c r="G353" s="61">
        <f t="shared" si="62"/>
        <v>79.819999999999993</v>
      </c>
      <c r="H353" s="61">
        <f t="shared" si="63"/>
        <v>178.76</v>
      </c>
      <c r="I353" s="66"/>
      <c r="J353" s="61">
        <f t="shared" si="64"/>
        <v>102.38</v>
      </c>
      <c r="K353" s="61">
        <f t="shared" si="65"/>
        <v>79.819999999999993</v>
      </c>
      <c r="L353" s="61">
        <f t="shared" si="66"/>
        <v>182.2</v>
      </c>
      <c r="M353" s="66"/>
      <c r="N353" s="61">
        <f t="shared" si="67"/>
        <v>3.4399999999999977</v>
      </c>
      <c r="O353" s="62">
        <f t="shared" si="68"/>
        <v>1.9243678675318853E-2</v>
      </c>
    </row>
    <row r="354" spans="2:15" ht="15.75" x14ac:dyDescent="0.25">
      <c r="B354" s="54" t="str">
        <f>IF(D354&lt;&gt;"",COUNTA($D$338:D354),"")</f>
        <v/>
      </c>
      <c r="C354" s="54"/>
      <c r="D354" s="67"/>
      <c r="E354" s="68"/>
      <c r="F354" s="68"/>
      <c r="G354" s="68"/>
      <c r="H354" s="70"/>
      <c r="I354" s="68"/>
      <c r="J354" s="68"/>
      <c r="K354" s="68"/>
      <c r="L354" s="70"/>
      <c r="M354" s="70"/>
      <c r="N354"/>
    </row>
    <row r="355" spans="2:15" ht="15.75" x14ac:dyDescent="0.25">
      <c r="B355" s="54" t="str">
        <f>IF(D355&lt;&gt;"",COUNTA($D$338:D355),"")</f>
        <v/>
      </c>
      <c r="C355" s="54"/>
      <c r="D355" s="67"/>
      <c r="E355" s="68"/>
      <c r="F355" s="68"/>
      <c r="G355" s="68"/>
      <c r="H355" s="70"/>
      <c r="I355" s="68"/>
      <c r="J355" s="68"/>
      <c r="K355" s="68"/>
      <c r="L355" s="70"/>
      <c r="M355" s="70"/>
      <c r="N355"/>
    </row>
    <row r="356" spans="2:15" ht="15.75" x14ac:dyDescent="0.25">
      <c r="B356" s="54">
        <f>IF(D356&lt;&gt;"",COUNTA($D$338:D356),"")</f>
        <v>17</v>
      </c>
      <c r="C356" s="54"/>
      <c r="D356" s="71" t="s">
        <v>27</v>
      </c>
      <c r="E356" s="66"/>
      <c r="F356" s="66"/>
      <c r="G356" s="89" t="str">
        <f>$G$28</f>
        <v>2026 In Effect</v>
      </c>
      <c r="H356" s="89" t="str">
        <f>$H$28</f>
        <v>2027 Proposed</v>
      </c>
      <c r="J356" s="75"/>
      <c r="K356" s="66"/>
      <c r="L356" s="66"/>
      <c r="M356" s="66"/>
      <c r="N356"/>
    </row>
    <row r="357" spans="2:15" ht="15.75" x14ac:dyDescent="0.25">
      <c r="B357" s="54">
        <f>IF(D357&lt;&gt;"",COUNTA($D$338:D357),"")</f>
        <v>18</v>
      </c>
      <c r="C357" s="54"/>
      <c r="D357" s="71" t="s">
        <v>27</v>
      </c>
      <c r="E357" s="66"/>
      <c r="F357" s="66"/>
      <c r="G357" s="78" t="s">
        <v>48</v>
      </c>
      <c r="H357" s="78" t="s">
        <v>48</v>
      </c>
      <c r="J357" s="78" t="s">
        <v>46</v>
      </c>
      <c r="K357" s="66"/>
      <c r="L357" s="66"/>
      <c r="M357" s="66"/>
      <c r="N357"/>
    </row>
    <row r="358" spans="2:15" ht="15.75" x14ac:dyDescent="0.25">
      <c r="B358" s="54">
        <f>IF(D358&lt;&gt;"",COUNTA($D$338:D358),"")</f>
        <v>19</v>
      </c>
      <c r="C358" s="54"/>
      <c r="D358" s="51" t="s">
        <v>49</v>
      </c>
      <c r="E358" s="66"/>
      <c r="F358" s="66"/>
      <c r="G358" s="81">
        <v>10</v>
      </c>
      <c r="H358" s="81">
        <v>10</v>
      </c>
      <c r="J358" s="81">
        <f t="shared" ref="J358:J387" si="69">+H358-G358</f>
        <v>0</v>
      </c>
      <c r="K358" s="66"/>
      <c r="L358" s="66"/>
      <c r="M358" s="66"/>
      <c r="N358"/>
    </row>
    <row r="359" spans="2:15" ht="15.75" x14ac:dyDescent="0.25">
      <c r="B359" s="54">
        <f>IF(D359&lt;&gt;"",COUNTA($D$338:D359),"")</f>
        <v>20</v>
      </c>
      <c r="C359" s="54"/>
      <c r="D359" s="51" t="s">
        <v>50</v>
      </c>
      <c r="E359" s="66"/>
      <c r="F359" s="66"/>
      <c r="G359" s="85">
        <v>5.8810000000000001E-2</v>
      </c>
      <c r="H359" s="85">
        <v>5.8810000000000001E-2</v>
      </c>
      <c r="J359" s="85">
        <f t="shared" si="69"/>
        <v>0</v>
      </c>
      <c r="K359" s="66"/>
      <c r="L359" s="66"/>
      <c r="M359" s="66"/>
      <c r="N359"/>
    </row>
    <row r="360" spans="2:15" ht="15.75" x14ac:dyDescent="0.25">
      <c r="B360" s="54">
        <f>IF(D360&lt;&gt;"",COUNTA($D$338:D360),"")</f>
        <v>21</v>
      </c>
      <c r="C360" s="54"/>
      <c r="D360" s="51" t="s">
        <v>51</v>
      </c>
      <c r="E360" s="66"/>
      <c r="F360" s="66"/>
      <c r="G360" s="85">
        <v>-1.0000000000000001E-5</v>
      </c>
      <c r="H360" s="85">
        <v>-1.0000000000000001E-5</v>
      </c>
      <c r="J360" s="85">
        <f t="shared" si="69"/>
        <v>0</v>
      </c>
      <c r="K360" s="66"/>
      <c r="L360" s="66"/>
      <c r="M360" s="66"/>
      <c r="N360"/>
    </row>
    <row r="361" spans="2:15" ht="15.75" x14ac:dyDescent="0.25">
      <c r="B361" s="54">
        <f>IF(D361&lt;&gt;"",COUNTA($D$338:D361),"")</f>
        <v>22</v>
      </c>
      <c r="C361" s="54"/>
      <c r="D361" s="51" t="s">
        <v>52</v>
      </c>
      <c r="E361" s="66"/>
      <c r="F361" s="66"/>
      <c r="G361" s="85">
        <v>5.2700000000000004E-3</v>
      </c>
      <c r="H361" s="85">
        <v>5.2700000000000004E-3</v>
      </c>
      <c r="J361" s="85">
        <f t="shared" si="69"/>
        <v>0</v>
      </c>
      <c r="K361" s="66"/>
      <c r="L361" s="66"/>
      <c r="M361" s="66"/>
      <c r="N361"/>
    </row>
    <row r="362" spans="2:15" ht="15.75" x14ac:dyDescent="0.25">
      <c r="B362" s="54">
        <f>IF(D362&lt;&gt;"",COUNTA($D$338:D362),"")</f>
        <v>23</v>
      </c>
      <c r="C362" s="54"/>
      <c r="D362" s="88" t="s">
        <v>53</v>
      </c>
      <c r="E362" s="66"/>
      <c r="F362" s="66"/>
      <c r="G362" s="85">
        <v>5.8300000000000001E-3</v>
      </c>
      <c r="H362" s="85">
        <v>5.8300000000000001E-3</v>
      </c>
      <c r="J362" s="85">
        <f t="shared" si="69"/>
        <v>0</v>
      </c>
      <c r="K362" s="66"/>
      <c r="L362" s="66"/>
      <c r="M362" s="66"/>
      <c r="N362"/>
    </row>
    <row r="363" spans="2:15" ht="15.75" x14ac:dyDescent="0.25">
      <c r="B363" s="54">
        <f>IF(D363&lt;&gt;"",COUNTA($D$338:D363),"")</f>
        <v>24</v>
      </c>
      <c r="C363" s="54"/>
      <c r="D363" s="51" t="s">
        <v>54</v>
      </c>
      <c r="E363" s="66"/>
      <c r="F363" s="66"/>
      <c r="G363" s="85">
        <v>1.0330000000000001E-2</v>
      </c>
      <c r="H363" s="85">
        <v>1.0330000000000001E-2</v>
      </c>
      <c r="J363" s="85">
        <f t="shared" si="69"/>
        <v>0</v>
      </c>
      <c r="K363" s="66"/>
      <c r="L363" s="66"/>
      <c r="M363" s="66"/>
      <c r="N363"/>
    </row>
    <row r="364" spans="2:15" ht="15.75" x14ac:dyDescent="0.25">
      <c r="B364" s="54">
        <f>IF(D364&lt;&gt;"",COUNTA($D$338:D364),"")</f>
        <v>25</v>
      </c>
      <c r="C364" s="54"/>
      <c r="D364" s="51" t="s">
        <v>55</v>
      </c>
      <c r="E364" s="66"/>
      <c r="F364" s="66"/>
      <c r="G364" s="85">
        <v>1.3799999999999999E-3</v>
      </c>
      <c r="H364" s="85">
        <v>1.3799999999999999E-3</v>
      </c>
      <c r="J364" s="85">
        <f t="shared" si="69"/>
        <v>0</v>
      </c>
      <c r="K364" s="66"/>
      <c r="L364" s="66"/>
      <c r="M364" s="66"/>
      <c r="N364"/>
    </row>
    <row r="365" spans="2:15" ht="15.75" x14ac:dyDescent="0.25">
      <c r="B365" s="54">
        <f>IF(D365&lt;&gt;"",COUNTA($D$338:D365),"")</f>
        <v>26</v>
      </c>
      <c r="C365" s="54"/>
      <c r="D365" s="51" t="s">
        <v>56</v>
      </c>
      <c r="E365" s="66"/>
      <c r="F365" s="66"/>
      <c r="G365" s="85">
        <v>6.2500000000000003E-3</v>
      </c>
      <c r="H365" s="85">
        <v>6.2500000000000003E-3</v>
      </c>
      <c r="J365" s="85">
        <f t="shared" si="69"/>
        <v>0</v>
      </c>
      <c r="K365" s="66"/>
      <c r="L365" s="66"/>
      <c r="M365" s="66"/>
      <c r="N365"/>
    </row>
    <row r="366" spans="2:15" ht="15.75" x14ac:dyDescent="0.25">
      <c r="B366" s="54">
        <f>IF(D366&lt;&gt;"",COUNTA($D$338:D366),"")</f>
        <v>27</v>
      </c>
      <c r="C366" s="54"/>
      <c r="D366" s="51" t="s">
        <v>57</v>
      </c>
      <c r="E366" s="66"/>
      <c r="F366" s="66"/>
      <c r="G366" s="85">
        <v>-3.6999999999999999E-4</v>
      </c>
      <c r="H366" s="85">
        <v>-3.6999999999999999E-4</v>
      </c>
      <c r="J366" s="85">
        <f t="shared" si="69"/>
        <v>0</v>
      </c>
      <c r="K366" s="66"/>
      <c r="L366" s="66"/>
      <c r="M366" s="66"/>
      <c r="N366"/>
      <c r="O366" s="46" t="s">
        <v>27</v>
      </c>
    </row>
    <row r="367" spans="2:15" ht="15.75" x14ac:dyDescent="0.25">
      <c r="B367" s="54">
        <f>IF(D367&lt;&gt;"",COUNTA($D$338:D367),"")</f>
        <v>28</v>
      </c>
      <c r="C367" s="54"/>
      <c r="D367" s="51" t="s">
        <v>58</v>
      </c>
      <c r="E367" s="66"/>
      <c r="F367" s="66"/>
      <c r="G367" s="85">
        <v>3.0000000000000001E-5</v>
      </c>
      <c r="H367" s="85">
        <v>3.0000000000000001E-5</v>
      </c>
      <c r="J367" s="85">
        <f t="shared" si="69"/>
        <v>0</v>
      </c>
      <c r="K367" s="66"/>
      <c r="L367" s="66"/>
      <c r="M367" s="66"/>
      <c r="N367"/>
    </row>
    <row r="368" spans="2:15" ht="15.75" x14ac:dyDescent="0.25">
      <c r="B368" s="54">
        <f>IF(D368&lt;&gt;"",COUNTA($D$338:D368),"")</f>
        <v>29</v>
      </c>
      <c r="C368" s="54"/>
      <c r="D368" s="51" t="s">
        <v>59</v>
      </c>
      <c r="E368" s="66"/>
      <c r="F368" s="66"/>
      <c r="G368" s="85">
        <v>9.5999999999999992E-3</v>
      </c>
      <c r="H368" s="85">
        <v>9.5999999999999992E-3</v>
      </c>
      <c r="J368" s="85">
        <f t="shared" si="69"/>
        <v>0</v>
      </c>
      <c r="K368" s="66"/>
      <c r="L368" s="66"/>
      <c r="M368" s="66"/>
      <c r="N368"/>
    </row>
    <row r="369" spans="2:14" ht="15.75" x14ac:dyDescent="0.25">
      <c r="B369" s="54">
        <f>IF(D369&lt;&gt;"",COUNTA($D$338:D369),"")</f>
        <v>30</v>
      </c>
      <c r="C369" s="54"/>
      <c r="D369" s="51" t="s">
        <v>60</v>
      </c>
      <c r="E369" s="66"/>
      <c r="F369" s="66"/>
      <c r="G369" s="85">
        <v>0</v>
      </c>
      <c r="H369" s="85">
        <v>0</v>
      </c>
      <c r="J369" s="85">
        <f t="shared" si="69"/>
        <v>0</v>
      </c>
      <c r="K369" s="66"/>
      <c r="L369" s="66"/>
      <c r="M369" s="66"/>
      <c r="N369"/>
    </row>
    <row r="370" spans="2:14" ht="15.75" x14ac:dyDescent="0.25">
      <c r="B370" s="54">
        <f>IF(D370&lt;&gt;"",COUNTA($D$338:D370),"")</f>
        <v>31</v>
      </c>
      <c r="C370" s="54"/>
      <c r="D370" s="51" t="s">
        <v>61</v>
      </c>
      <c r="E370" s="66"/>
      <c r="F370" s="66"/>
      <c r="G370" s="85">
        <v>-7.1000000000000002E-4</v>
      </c>
      <c r="H370" s="85">
        <v>-7.1000000000000002E-4</v>
      </c>
      <c r="J370" s="85">
        <f t="shared" si="69"/>
        <v>0</v>
      </c>
      <c r="K370" s="66"/>
      <c r="L370" s="66"/>
      <c r="M370" s="66"/>
      <c r="N370"/>
    </row>
    <row r="371" spans="2:14" ht="15.75" x14ac:dyDescent="0.25">
      <c r="B371" s="54">
        <f>IF(D371&lt;&gt;"",COUNTA($D$338:D371),"")</f>
        <v>32</v>
      </c>
      <c r="C371" s="54"/>
      <c r="D371" s="51" t="s">
        <v>62</v>
      </c>
      <c r="E371" s="66"/>
      <c r="F371" s="66"/>
      <c r="G371" s="85">
        <v>1.8000000000000001E-4</v>
      </c>
      <c r="H371" s="85">
        <v>1.8000000000000001E-4</v>
      </c>
      <c r="J371" s="85">
        <f t="shared" si="69"/>
        <v>0</v>
      </c>
      <c r="K371" s="66"/>
      <c r="L371" s="66"/>
      <c r="M371" s="66"/>
      <c r="N371"/>
    </row>
    <row r="372" spans="2:14" ht="15.75" x14ac:dyDescent="0.25">
      <c r="B372" s="54">
        <f>IF(D372&lt;&gt;"",COUNTA($D$338:D372),"")</f>
        <v>33</v>
      </c>
      <c r="C372" s="54"/>
      <c r="D372" s="51" t="s">
        <v>63</v>
      </c>
      <c r="E372" s="66"/>
      <c r="F372" s="66"/>
      <c r="G372" s="85">
        <v>-3.1E-4</v>
      </c>
      <c r="H372" s="85">
        <v>-3.1E-4</v>
      </c>
      <c r="J372" s="85">
        <f t="shared" si="69"/>
        <v>0</v>
      </c>
      <c r="K372" s="66"/>
      <c r="L372" s="66"/>
      <c r="M372" s="66"/>
      <c r="N372"/>
    </row>
    <row r="373" spans="2:14" ht="15.75" x14ac:dyDescent="0.25">
      <c r="B373" s="54">
        <f>IF(D373&lt;&gt;"",COUNTA($D$338:D373),"")</f>
        <v>34</v>
      </c>
      <c r="C373" s="54"/>
      <c r="D373" s="51" t="s">
        <v>64</v>
      </c>
      <c r="E373" s="66"/>
      <c r="F373" s="66"/>
      <c r="G373" s="85">
        <v>1.39E-3</v>
      </c>
      <c r="H373" s="85">
        <v>1.39E-3</v>
      </c>
      <c r="J373" s="85">
        <f t="shared" si="69"/>
        <v>0</v>
      </c>
      <c r="K373" s="66"/>
      <c r="L373" s="66"/>
      <c r="M373" s="66"/>
      <c r="N373"/>
    </row>
    <row r="374" spans="2:14" ht="15.75" x14ac:dyDescent="0.25">
      <c r="B374" s="54">
        <f>IF(D374&lt;&gt;"",COUNTA($D$338:D374),"")</f>
        <v>35</v>
      </c>
      <c r="C374" s="54"/>
      <c r="D374" s="51" t="s">
        <v>65</v>
      </c>
      <c r="E374" s="66"/>
      <c r="F374" s="66"/>
      <c r="G374" s="85">
        <v>-9.2000000000000003E-4</v>
      </c>
      <c r="H374" s="85">
        <v>-9.2000000000000003E-4</v>
      </c>
      <c r="J374" s="85">
        <f t="shared" si="69"/>
        <v>0</v>
      </c>
      <c r="K374" s="66"/>
      <c r="L374" s="66"/>
      <c r="M374" s="66"/>
      <c r="N374"/>
    </row>
    <row r="375" spans="2:14" ht="15.75" x14ac:dyDescent="0.25">
      <c r="B375" s="54">
        <f>IF(D375&lt;&gt;"",COUNTA($D$338:D375),"")</f>
        <v>36</v>
      </c>
      <c r="C375" s="54"/>
      <c r="D375" s="51" t="s">
        <v>66</v>
      </c>
      <c r="E375" s="66"/>
      <c r="F375" s="66"/>
      <c r="G375" s="85">
        <v>2.8E-3</v>
      </c>
      <c r="H375" s="85">
        <v>2.8E-3</v>
      </c>
      <c r="J375" s="85">
        <f t="shared" si="69"/>
        <v>0</v>
      </c>
      <c r="K375" s="66"/>
      <c r="L375" s="66"/>
      <c r="M375" s="66"/>
      <c r="N375"/>
    </row>
    <row r="376" spans="2:14" ht="15.75" x14ac:dyDescent="0.25">
      <c r="B376" s="54">
        <f>IF(D376&lt;&gt;"",COUNTA($D$338:D376),"")</f>
        <v>37</v>
      </c>
      <c r="C376" s="54"/>
      <c r="D376" s="51" t="s">
        <v>67</v>
      </c>
      <c r="E376" s="66"/>
      <c r="F376" s="66"/>
      <c r="G376" s="85">
        <v>8.7899999999999992E-3</v>
      </c>
      <c r="H376" s="85">
        <v>8.7899999999999992E-3</v>
      </c>
      <c r="J376" s="85">
        <f t="shared" si="69"/>
        <v>0</v>
      </c>
      <c r="K376" s="66"/>
      <c r="L376" s="66"/>
      <c r="M376" s="66"/>
      <c r="N376"/>
    </row>
    <row r="377" spans="2:14" ht="15.75" x14ac:dyDescent="0.25">
      <c r="B377" s="54">
        <f>IF(D377&lt;&gt;"",COUNTA($D$338:D377),"")</f>
        <v>38</v>
      </c>
      <c r="C377" s="54"/>
      <c r="D377" s="51" t="s">
        <v>68</v>
      </c>
      <c r="E377" s="66"/>
      <c r="F377" s="66"/>
      <c r="G377" s="85">
        <v>1.6000000000000001E-4</v>
      </c>
      <c r="H377" s="85">
        <v>1.6000000000000001E-4</v>
      </c>
      <c r="J377" s="85">
        <f>+H377-G377</f>
        <v>0</v>
      </c>
      <c r="K377" s="66"/>
      <c r="L377" s="66"/>
      <c r="M377" s="66"/>
      <c r="N377"/>
    </row>
    <row r="378" spans="2:14" ht="15.75" x14ac:dyDescent="0.25">
      <c r="B378" s="54">
        <f>IF(D378&lt;&gt;"",COUNTA($D$338:D378),"")</f>
        <v>39</v>
      </c>
      <c r="C378" s="54"/>
      <c r="D378" s="51" t="s">
        <v>69</v>
      </c>
      <c r="E378" s="66"/>
      <c r="F378" s="66"/>
      <c r="G378" s="85">
        <v>8.0000000000000007E-5</v>
      </c>
      <c r="H378" s="85">
        <v>8.0000000000000007E-5</v>
      </c>
      <c r="J378" s="85">
        <f>+H378-G378</f>
        <v>0</v>
      </c>
      <c r="K378" s="66"/>
      <c r="L378" s="66"/>
      <c r="M378" s="66"/>
      <c r="N378"/>
    </row>
    <row r="379" spans="2:14" ht="15.75" x14ac:dyDescent="0.25">
      <c r="B379" s="54">
        <f>IF(D379&lt;&gt;"",COUNTA($D$338:D379),"")</f>
        <v>40</v>
      </c>
      <c r="C379" s="54"/>
      <c r="D379" s="51" t="s">
        <v>70</v>
      </c>
      <c r="E379" s="66"/>
      <c r="F379" s="66"/>
      <c r="G379" s="85">
        <v>1.0000000000000001E-5</v>
      </c>
      <c r="H379" s="85">
        <v>1.0000000000000001E-5</v>
      </c>
      <c r="J379" s="85">
        <f>+H379-G379</f>
        <v>0</v>
      </c>
      <c r="K379" s="66"/>
      <c r="L379" s="66"/>
      <c r="M379" s="66"/>
      <c r="N379"/>
    </row>
    <row r="380" spans="2:14" ht="15.75" x14ac:dyDescent="0.25">
      <c r="B380" s="54">
        <f>IF(D380&lt;&gt;"",COUNTA($D$338:D380),"")</f>
        <v>41</v>
      </c>
      <c r="C380" s="54"/>
      <c r="D380" s="51" t="s">
        <v>71</v>
      </c>
      <c r="E380" s="66"/>
      <c r="F380" s="66"/>
      <c r="G380" s="85">
        <v>1.0399999999999999E-3</v>
      </c>
      <c r="H380" s="85">
        <v>1.0399999999999999E-3</v>
      </c>
      <c r="J380" s="85">
        <f>+H380-G380</f>
        <v>0</v>
      </c>
      <c r="K380" s="66"/>
      <c r="L380" s="66"/>
      <c r="M380" s="66"/>
      <c r="N380"/>
    </row>
    <row r="381" spans="2:14" ht="15.75" x14ac:dyDescent="0.25">
      <c r="B381" s="54">
        <f>IF(D381&lt;&gt;"",COUNTA($D$338:D381),"")</f>
        <v>42</v>
      </c>
      <c r="C381" s="54"/>
      <c r="D381" s="51" t="s">
        <v>72</v>
      </c>
      <c r="E381" s="66"/>
      <c r="F381" s="66"/>
      <c r="G381" s="85">
        <v>-7.6999999999999996E-4</v>
      </c>
      <c r="H381" s="85">
        <v>-7.6999999999999996E-4</v>
      </c>
      <c r="J381" s="85">
        <f t="shared" si="69"/>
        <v>0</v>
      </c>
      <c r="K381" s="66"/>
      <c r="L381" s="66"/>
      <c r="M381" s="66"/>
      <c r="N381"/>
    </row>
    <row r="382" spans="2:14" ht="15.75" x14ac:dyDescent="0.25">
      <c r="B382" s="54">
        <f>IF(D382&lt;&gt;"",COUNTA($D$338:D382),"")</f>
        <v>43</v>
      </c>
      <c r="C382" s="54"/>
      <c r="D382" s="51" t="s">
        <v>73</v>
      </c>
      <c r="E382" s="66"/>
      <c r="F382" s="66"/>
      <c r="G382" s="85">
        <v>4.6730000000000001E-2</v>
      </c>
      <c r="H382" s="85">
        <v>4.6730000000000001E-2</v>
      </c>
      <c r="J382" s="85">
        <f t="shared" si="69"/>
        <v>0</v>
      </c>
      <c r="K382" s="66"/>
      <c r="L382" s="66"/>
      <c r="M382" s="66"/>
      <c r="N382"/>
    </row>
    <row r="383" spans="2:14" ht="15.75" x14ac:dyDescent="0.25">
      <c r="B383" s="54">
        <f>IF(D383&lt;&gt;"",COUNTA($D$338:D383),"")</f>
        <v>44</v>
      </c>
      <c r="C383" s="54"/>
      <c r="D383" s="51" t="s">
        <v>74</v>
      </c>
      <c r="E383" s="66"/>
      <c r="F383" s="66"/>
      <c r="G383" s="85">
        <v>3.4880000000000001E-2</v>
      </c>
      <c r="H383" s="85">
        <v>4.2039999999999994E-2</v>
      </c>
      <c r="J383" s="85">
        <f t="shared" si="69"/>
        <v>7.1599999999999928E-3</v>
      </c>
      <c r="K383" s="66"/>
      <c r="L383" s="66"/>
      <c r="M383" s="66"/>
      <c r="N383"/>
    </row>
    <row r="384" spans="2:14" ht="15.75" x14ac:dyDescent="0.25">
      <c r="B384" s="54">
        <f>IF(D384&lt;&gt;"",COUNTA($D$338:D384),"")</f>
        <v>45</v>
      </c>
      <c r="C384" s="54"/>
      <c r="D384" s="51" t="s">
        <v>75</v>
      </c>
      <c r="E384" s="66"/>
      <c r="F384" s="66"/>
      <c r="G384" s="85">
        <v>2.5000000000000001E-3</v>
      </c>
      <c r="H384" s="85">
        <v>2.5000000000000001E-3</v>
      </c>
      <c r="J384" s="85">
        <f t="shared" si="69"/>
        <v>0</v>
      </c>
      <c r="K384" s="66"/>
      <c r="L384" s="66"/>
      <c r="M384" s="66"/>
      <c r="N384"/>
    </row>
    <row r="385" spans="2:15" ht="15.75" x14ac:dyDescent="0.25">
      <c r="B385" s="54">
        <f>IF(D385&lt;&gt;"",COUNTA($D$338:D385),"")</f>
        <v>46</v>
      </c>
      <c r="C385" s="54"/>
      <c r="D385" s="51" t="s">
        <v>76</v>
      </c>
      <c r="E385" s="66"/>
      <c r="F385" s="66"/>
      <c r="G385" s="85">
        <v>5.0000000000000001E-4</v>
      </c>
      <c r="H385" s="85">
        <v>5.0000000000000001E-4</v>
      </c>
      <c r="J385" s="85">
        <f t="shared" si="69"/>
        <v>0</v>
      </c>
      <c r="K385" s="66"/>
      <c r="L385" s="66"/>
      <c r="M385" s="66"/>
      <c r="N385"/>
    </row>
    <row r="386" spans="2:15" ht="15.75" x14ac:dyDescent="0.25">
      <c r="B386" s="54">
        <f>IF(D386&lt;&gt;"",COUNTA($D$338:D386),"")</f>
        <v>47</v>
      </c>
      <c r="C386" s="54"/>
      <c r="D386" s="51" t="s">
        <v>77</v>
      </c>
      <c r="E386" s="66"/>
      <c r="F386" s="66"/>
      <c r="G386" s="85">
        <v>0.1658</v>
      </c>
      <c r="H386" s="85">
        <v>0.1658</v>
      </c>
      <c r="J386" s="85">
        <f t="shared" si="69"/>
        <v>0</v>
      </c>
      <c r="K386" s="66"/>
      <c r="L386" s="66"/>
      <c r="M386" s="66"/>
      <c r="N386"/>
    </row>
    <row r="387" spans="2:15" ht="15.75" x14ac:dyDescent="0.25">
      <c r="B387" s="54">
        <f>IF(D387&lt;&gt;"",COUNTA($D$338:D387),"")</f>
        <v>48</v>
      </c>
      <c r="C387" s="54"/>
      <c r="D387" s="51" t="str">
        <f>D193</f>
        <v>Low Income Discount</v>
      </c>
      <c r="E387" s="66"/>
      <c r="F387" s="66"/>
      <c r="G387" s="93">
        <v>0.42</v>
      </c>
      <c r="H387" s="93">
        <v>0.42</v>
      </c>
      <c r="J387" s="93">
        <f t="shared" si="69"/>
        <v>0</v>
      </c>
      <c r="K387" s="66"/>
      <c r="L387" s="66"/>
      <c r="M387" s="66"/>
      <c r="N387"/>
    </row>
    <row r="390" spans="2:15" ht="15.75" x14ac:dyDescent="0.25">
      <c r="B390" s="92" t="str">
        <f>$B$3</f>
        <v>Cape Light Compact JPE</v>
      </c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</row>
    <row r="391" spans="2:15" ht="15.75" x14ac:dyDescent="0.25">
      <c r="B391" s="92" t="str">
        <f>$B$4</f>
        <v>Calculation of Monthly Typical Bill</v>
      </c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</row>
    <row r="392" spans="2:15" ht="15.75" x14ac:dyDescent="0.25">
      <c r="B392" s="92" t="str">
        <f>$B$5</f>
        <v>Proposed January 1, 2027</v>
      </c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</row>
    <row r="393" spans="2:15" ht="15.75" x14ac:dyDescent="0.25">
      <c r="B393" s="94"/>
      <c r="C393" s="94"/>
      <c r="D393" s="71"/>
      <c r="E393" s="95"/>
      <c r="F393" s="96"/>
      <c r="G393" s="97"/>
      <c r="H393" s="71"/>
      <c r="I393" s="71"/>
      <c r="J393" s="71"/>
      <c r="K393" s="71"/>
      <c r="L393" s="71"/>
      <c r="M393" s="71"/>
      <c r="N393" s="71"/>
      <c r="O393" s="71"/>
    </row>
    <row r="394" spans="2:15" ht="15.75" x14ac:dyDescent="0.25">
      <c r="B394" s="49" t="s">
        <v>25</v>
      </c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</row>
    <row r="395" spans="2:15" ht="15.75" x14ac:dyDescent="0.25">
      <c r="B395" s="98"/>
      <c r="C395" s="98"/>
      <c r="D395" s="71"/>
      <c r="E395" s="71"/>
      <c r="F395" s="71"/>
      <c r="G395" s="99"/>
      <c r="H395" s="71"/>
      <c r="I395"/>
      <c r="J395"/>
      <c r="K395"/>
      <c r="L395"/>
      <c r="M395"/>
      <c r="N395"/>
      <c r="O395"/>
    </row>
    <row r="396" spans="2:15" ht="15.75" x14ac:dyDescent="0.25">
      <c r="B396" s="54"/>
      <c r="C396" s="54"/>
      <c r="D396"/>
      <c r="E396" s="71"/>
      <c r="F396" s="71"/>
      <c r="G396" s="99"/>
      <c r="H396" s="71"/>
      <c r="I396"/>
      <c r="J396"/>
      <c r="K396"/>
      <c r="L396"/>
      <c r="M396"/>
      <c r="N396"/>
      <c r="O396"/>
    </row>
    <row r="397" spans="2:15" ht="15.75" x14ac:dyDescent="0.25">
      <c r="B397" s="54">
        <f>IF(D397&lt;&gt;"",COUNTA($D$397:D397),"")</f>
        <v>1</v>
      </c>
      <c r="C397" s="54"/>
      <c r="D397" s="50" t="s">
        <v>40</v>
      </c>
      <c r="E397" s="50"/>
      <c r="F397" s="56" t="str">
        <f>$F$10</f>
        <v>2026 In Effect</v>
      </c>
      <c r="G397" s="56"/>
      <c r="H397" s="56"/>
      <c r="I397" s="51"/>
      <c r="J397" s="56" t="str">
        <f>$J$10</f>
        <v>2027 Proposed</v>
      </c>
      <c r="K397" s="57"/>
      <c r="L397" s="57"/>
      <c r="M397"/>
      <c r="N397" s="57" t="str">
        <f>$N$10</f>
        <v>Total Bill Impact</v>
      </c>
      <c r="O397" s="57"/>
    </row>
    <row r="398" spans="2:15" ht="15.75" x14ac:dyDescent="0.25">
      <c r="B398" s="54">
        <f>IF(D398&lt;&gt;"",COUNTA($D$397:D398),"")</f>
        <v>2</v>
      </c>
      <c r="C398" s="54"/>
      <c r="D398" s="58" t="s">
        <v>42</v>
      </c>
      <c r="E398" s="58"/>
      <c r="F398" s="58" t="str">
        <f>F$11</f>
        <v>Delivery</v>
      </c>
      <c r="G398" s="58" t="str">
        <f>G$11</f>
        <v>Supplier</v>
      </c>
      <c r="H398" s="58" t="str">
        <f>H$11</f>
        <v>Total</v>
      </c>
      <c r="I398" s="51"/>
      <c r="J398" s="58" t="str">
        <f>J$11</f>
        <v>Delivery</v>
      </c>
      <c r="K398" s="58" t="str">
        <f>K$11</f>
        <v>Supplier</v>
      </c>
      <c r="L398" s="58" t="str">
        <f>L$11</f>
        <v>Total</v>
      </c>
      <c r="M398"/>
      <c r="N398" s="58" t="str">
        <f>N$11</f>
        <v>Change</v>
      </c>
      <c r="O398" s="58" t="str">
        <f>O$11</f>
        <v>% Change</v>
      </c>
    </row>
    <row r="399" spans="2:15" x14ac:dyDescent="0.2">
      <c r="B399" s="54">
        <f>IF(D399&lt;&gt;"",COUNTA($D$397:D399),"")</f>
        <v>3</v>
      </c>
      <c r="C399" s="54"/>
      <c r="D399" s="60">
        <v>5</v>
      </c>
      <c r="E399" s="60"/>
      <c r="F399" s="61">
        <f t="shared" ref="F399:F409" si="70">ROUND(SUM($G$415:$G$441)*D399,2)+G$414</f>
        <v>15.75</v>
      </c>
      <c r="G399" s="61">
        <f t="shared" ref="G399:G409" si="71">ROUND($G$442*D399,2)</f>
        <v>0.82</v>
      </c>
      <c r="H399" s="61">
        <f t="shared" ref="H399:H409" si="72">SUM(F399:G399)</f>
        <v>16.57</v>
      </c>
      <c r="I399" s="61"/>
      <c r="J399" s="61">
        <f t="shared" ref="J399:J409" si="73">ROUND(SUM($H$415:$H$441)*D399,2)+H$414</f>
        <v>15.8</v>
      </c>
      <c r="K399" s="61">
        <f t="shared" ref="K399:K409" si="74">ROUND($H$442*D399,2)</f>
        <v>0.82</v>
      </c>
      <c r="L399" s="61">
        <f t="shared" ref="L399:L409" si="75">SUM(J399:K399)</f>
        <v>16.62</v>
      </c>
      <c r="M399" s="66"/>
      <c r="N399" s="61">
        <f t="shared" ref="N399:N409" si="76">+L399-H399</f>
        <v>5.0000000000000711E-2</v>
      </c>
      <c r="O399" s="62">
        <f t="shared" ref="O399:O409" si="77">+N399/H399</f>
        <v>3.0175015087507973E-3</v>
      </c>
    </row>
    <row r="400" spans="2:15" x14ac:dyDescent="0.2">
      <c r="B400" s="54">
        <f>IF(D400&lt;&gt;"",COUNTA($D$397:D400),"")</f>
        <v>4</v>
      </c>
      <c r="C400" s="54"/>
      <c r="D400" s="60">
        <v>30</v>
      </c>
      <c r="E400" s="60"/>
      <c r="F400" s="61">
        <f t="shared" si="70"/>
        <v>19.53</v>
      </c>
      <c r="G400" s="61">
        <f t="shared" si="71"/>
        <v>4.9400000000000004</v>
      </c>
      <c r="H400" s="61">
        <f t="shared" si="72"/>
        <v>24.470000000000002</v>
      </c>
      <c r="I400" s="66"/>
      <c r="J400" s="61">
        <f t="shared" si="73"/>
        <v>19.77</v>
      </c>
      <c r="K400" s="61">
        <f t="shared" si="74"/>
        <v>4.9400000000000004</v>
      </c>
      <c r="L400" s="61">
        <f t="shared" si="75"/>
        <v>24.71</v>
      </c>
      <c r="M400" s="66"/>
      <c r="N400" s="61">
        <f t="shared" si="76"/>
        <v>0.23999999999999844</v>
      </c>
      <c r="O400" s="62">
        <f t="shared" si="77"/>
        <v>9.8079280751940511E-3</v>
      </c>
    </row>
    <row r="401" spans="2:15" x14ac:dyDescent="0.2">
      <c r="B401" s="54">
        <f>IF(D401&lt;&gt;"",COUNTA($D$397:D401),"")</f>
        <v>5</v>
      </c>
      <c r="C401" s="54"/>
      <c r="D401" s="60">
        <v>80</v>
      </c>
      <c r="E401" s="60"/>
      <c r="F401" s="61">
        <f t="shared" si="70"/>
        <v>27.08</v>
      </c>
      <c r="G401" s="61">
        <f t="shared" si="71"/>
        <v>13.17</v>
      </c>
      <c r="H401" s="61">
        <f t="shared" si="72"/>
        <v>40.25</v>
      </c>
      <c r="I401" s="66"/>
      <c r="J401" s="61">
        <f t="shared" si="73"/>
        <v>27.72</v>
      </c>
      <c r="K401" s="61">
        <f t="shared" si="74"/>
        <v>13.17</v>
      </c>
      <c r="L401" s="61">
        <f t="shared" si="75"/>
        <v>40.89</v>
      </c>
      <c r="M401" s="66"/>
      <c r="N401" s="61">
        <f t="shared" si="76"/>
        <v>0.64000000000000057</v>
      </c>
      <c r="O401" s="62">
        <f t="shared" si="77"/>
        <v>1.5900621118012437E-2</v>
      </c>
    </row>
    <row r="402" spans="2:15" x14ac:dyDescent="0.2">
      <c r="B402" s="54">
        <f>IF(D402&lt;&gt;"",COUNTA($D$397:D402),"")</f>
        <v>6</v>
      </c>
      <c r="C402" s="54"/>
      <c r="D402" s="60">
        <v>150</v>
      </c>
      <c r="E402" s="60"/>
      <c r="F402" s="61">
        <f t="shared" si="70"/>
        <v>37.65</v>
      </c>
      <c r="G402" s="61">
        <f t="shared" si="71"/>
        <v>24.7</v>
      </c>
      <c r="H402" s="61">
        <f t="shared" si="72"/>
        <v>62.349999999999994</v>
      </c>
      <c r="I402" s="66"/>
      <c r="J402" s="61">
        <f t="shared" si="73"/>
        <v>38.86</v>
      </c>
      <c r="K402" s="61">
        <f t="shared" si="74"/>
        <v>24.7</v>
      </c>
      <c r="L402" s="61">
        <f t="shared" si="75"/>
        <v>63.56</v>
      </c>
      <c r="M402" s="66"/>
      <c r="N402" s="61">
        <f t="shared" si="76"/>
        <v>1.210000000000008</v>
      </c>
      <c r="O402" s="62">
        <f t="shared" si="77"/>
        <v>1.9406575781876632E-2</v>
      </c>
    </row>
    <row r="403" spans="2:15" x14ac:dyDescent="0.2">
      <c r="B403" s="54">
        <f>IF(D403&lt;&gt;"",COUNTA($D$397:D403),"")</f>
        <v>7</v>
      </c>
      <c r="C403" s="54"/>
      <c r="D403" s="60">
        <v>275</v>
      </c>
      <c r="E403" s="60"/>
      <c r="F403" s="61">
        <f t="shared" si="70"/>
        <v>56.52</v>
      </c>
      <c r="G403" s="61">
        <f t="shared" si="71"/>
        <v>45.28</v>
      </c>
      <c r="H403" s="61">
        <f t="shared" si="72"/>
        <v>101.80000000000001</v>
      </c>
      <c r="I403" s="66"/>
      <c r="J403" s="61">
        <f t="shared" si="73"/>
        <v>58.74</v>
      </c>
      <c r="K403" s="61">
        <f t="shared" si="74"/>
        <v>45.28</v>
      </c>
      <c r="L403" s="61">
        <f t="shared" si="75"/>
        <v>104.02000000000001</v>
      </c>
      <c r="M403" s="66"/>
      <c r="N403" s="61">
        <f t="shared" si="76"/>
        <v>2.2199999999999989</v>
      </c>
      <c r="O403" s="62">
        <f t="shared" si="77"/>
        <v>2.1807465618860496E-2</v>
      </c>
    </row>
    <row r="404" spans="2:15" x14ac:dyDescent="0.2">
      <c r="B404" s="54">
        <f>IF(D404&lt;&gt;"",COUNTA($D$397:D404),"")</f>
        <v>8</v>
      </c>
      <c r="C404" s="54"/>
      <c r="D404" s="60">
        <v>500</v>
      </c>
      <c r="E404" s="60"/>
      <c r="F404" s="61">
        <f t="shared" si="70"/>
        <v>90.49</v>
      </c>
      <c r="G404" s="61">
        <f t="shared" si="71"/>
        <v>82.33</v>
      </c>
      <c r="H404" s="61">
        <f t="shared" si="72"/>
        <v>172.82</v>
      </c>
      <c r="I404" s="66"/>
      <c r="J404" s="61">
        <f t="shared" si="73"/>
        <v>94.53</v>
      </c>
      <c r="K404" s="61">
        <f t="shared" si="74"/>
        <v>82.33</v>
      </c>
      <c r="L404" s="61">
        <f t="shared" si="75"/>
        <v>176.86</v>
      </c>
      <c r="M404" s="66"/>
      <c r="N404" s="61">
        <f t="shared" si="76"/>
        <v>4.0400000000000205</v>
      </c>
      <c r="O404" s="62">
        <f t="shared" si="77"/>
        <v>2.3376923967133555E-2</v>
      </c>
    </row>
    <row r="405" spans="2:15" x14ac:dyDescent="0.2">
      <c r="B405" s="54">
        <f>IF(D405&lt;&gt;"",COUNTA($D$397:D405),"")</f>
        <v>9</v>
      </c>
      <c r="C405" s="54"/>
      <c r="D405" s="60">
        <v>750</v>
      </c>
      <c r="E405" s="60"/>
      <c r="F405" s="61">
        <f t="shared" si="70"/>
        <v>128.23000000000002</v>
      </c>
      <c r="G405" s="61">
        <f t="shared" si="71"/>
        <v>123.5</v>
      </c>
      <c r="H405" s="61">
        <f t="shared" si="72"/>
        <v>251.73000000000002</v>
      </c>
      <c r="I405" s="66"/>
      <c r="J405" s="61">
        <f t="shared" si="73"/>
        <v>134.30000000000001</v>
      </c>
      <c r="K405" s="61">
        <f t="shared" si="74"/>
        <v>123.5</v>
      </c>
      <c r="L405" s="61">
        <f t="shared" si="75"/>
        <v>257.8</v>
      </c>
      <c r="M405" s="66"/>
      <c r="N405" s="61">
        <f t="shared" si="76"/>
        <v>6.0699999999999932</v>
      </c>
      <c r="O405" s="62">
        <f t="shared" si="77"/>
        <v>2.411313709132798E-2</v>
      </c>
    </row>
    <row r="406" spans="2:15" x14ac:dyDescent="0.2">
      <c r="B406" s="54">
        <f>IF(D406&lt;&gt;"",COUNTA($D$397:D406),"")</f>
        <v>10</v>
      </c>
      <c r="C406" s="54"/>
      <c r="D406" s="60">
        <v>1250</v>
      </c>
      <c r="E406" s="60"/>
      <c r="F406" s="61">
        <f t="shared" si="70"/>
        <v>203.71</v>
      </c>
      <c r="G406" s="61">
        <f t="shared" si="71"/>
        <v>205.83</v>
      </c>
      <c r="H406" s="61">
        <f t="shared" si="72"/>
        <v>409.54</v>
      </c>
      <c r="I406" s="66"/>
      <c r="J406" s="61">
        <f t="shared" si="73"/>
        <v>213.83</v>
      </c>
      <c r="K406" s="61">
        <f t="shared" si="74"/>
        <v>205.83</v>
      </c>
      <c r="L406" s="61">
        <f t="shared" si="75"/>
        <v>419.66</v>
      </c>
      <c r="M406" s="66"/>
      <c r="N406" s="61">
        <f t="shared" si="76"/>
        <v>10.120000000000005</v>
      </c>
      <c r="O406" s="62">
        <f t="shared" si="77"/>
        <v>2.471065097426382E-2</v>
      </c>
    </row>
    <row r="407" spans="2:15" x14ac:dyDescent="0.2">
      <c r="B407" s="54">
        <f>IF(D407&lt;&gt;"",COUNTA($D$397:D407),"")</f>
        <v>11</v>
      </c>
      <c r="C407" s="54"/>
      <c r="D407" s="60">
        <v>2500</v>
      </c>
      <c r="E407" s="60"/>
      <c r="F407" s="61">
        <f t="shared" si="70"/>
        <v>392.43</v>
      </c>
      <c r="G407" s="61">
        <f t="shared" si="71"/>
        <v>411.65</v>
      </c>
      <c r="H407" s="61">
        <f t="shared" si="72"/>
        <v>804.07999999999993</v>
      </c>
      <c r="I407" s="66"/>
      <c r="J407" s="61">
        <f t="shared" si="73"/>
        <v>412.65</v>
      </c>
      <c r="K407" s="61">
        <f t="shared" si="74"/>
        <v>411.65</v>
      </c>
      <c r="L407" s="61">
        <f t="shared" si="75"/>
        <v>824.3</v>
      </c>
      <c r="M407" s="66"/>
      <c r="N407" s="61">
        <f t="shared" si="76"/>
        <v>20.220000000000027</v>
      </c>
      <c r="O407" s="62">
        <f t="shared" si="77"/>
        <v>2.5146751567008293E-2</v>
      </c>
    </row>
    <row r="408" spans="2:15" x14ac:dyDescent="0.2">
      <c r="B408" s="54">
        <f>IF(D408&lt;&gt;"",COUNTA($D$397:D408),"")</f>
        <v>12</v>
      </c>
      <c r="C408" s="54"/>
      <c r="D408" s="60">
        <v>10000</v>
      </c>
      <c r="E408" s="60"/>
      <c r="F408" s="61">
        <f t="shared" si="70"/>
        <v>1524.7</v>
      </c>
      <c r="G408" s="61">
        <f t="shared" si="71"/>
        <v>1646.6</v>
      </c>
      <c r="H408" s="61">
        <f t="shared" si="72"/>
        <v>3171.3</v>
      </c>
      <c r="I408" s="66"/>
      <c r="J408" s="61">
        <f t="shared" si="73"/>
        <v>1605.6</v>
      </c>
      <c r="K408" s="61">
        <f t="shared" si="74"/>
        <v>1646.6</v>
      </c>
      <c r="L408" s="61">
        <f t="shared" si="75"/>
        <v>3252.2</v>
      </c>
      <c r="M408" s="66"/>
      <c r="N408" s="61">
        <f t="shared" si="76"/>
        <v>80.899999999999636</v>
      </c>
      <c r="O408" s="62">
        <f t="shared" si="77"/>
        <v>2.5510043199949432E-2</v>
      </c>
    </row>
    <row r="409" spans="2:15" x14ac:dyDescent="0.2">
      <c r="B409" s="54">
        <f>IF(D409&lt;&gt;"",COUNTA($D$397:D409),"")</f>
        <v>13</v>
      </c>
      <c r="C409" s="54" t="s">
        <v>47</v>
      </c>
      <c r="D409" s="60">
        <v>1650</v>
      </c>
      <c r="E409" s="60"/>
      <c r="F409" s="61">
        <f t="shared" si="70"/>
        <v>264.10000000000002</v>
      </c>
      <c r="G409" s="61">
        <f t="shared" si="71"/>
        <v>271.69</v>
      </c>
      <c r="H409" s="61">
        <f t="shared" si="72"/>
        <v>535.79</v>
      </c>
      <c r="I409" s="66"/>
      <c r="J409" s="61">
        <f t="shared" si="73"/>
        <v>277.45</v>
      </c>
      <c r="K409" s="61">
        <f t="shared" si="74"/>
        <v>271.69</v>
      </c>
      <c r="L409" s="61">
        <f t="shared" si="75"/>
        <v>549.14</v>
      </c>
      <c r="M409" s="66"/>
      <c r="N409" s="61">
        <f t="shared" si="76"/>
        <v>13.350000000000023</v>
      </c>
      <c r="O409" s="62">
        <f t="shared" si="77"/>
        <v>2.4916478471042804E-2</v>
      </c>
    </row>
    <row r="410" spans="2:15" x14ac:dyDescent="0.2">
      <c r="B410" s="54" t="str">
        <f>IF(D410&lt;&gt;"",COUNTA($D$397:D410),"")</f>
        <v/>
      </c>
      <c r="D410" s="60"/>
      <c r="E410" s="60"/>
      <c r="F410" s="61"/>
      <c r="G410" s="61"/>
      <c r="H410" s="61"/>
      <c r="I410" s="66"/>
      <c r="J410" s="61"/>
      <c r="K410" s="61"/>
      <c r="L410" s="61"/>
      <c r="M410" s="66"/>
      <c r="N410" s="61"/>
      <c r="O410" s="62"/>
    </row>
    <row r="411" spans="2:15" x14ac:dyDescent="0.2">
      <c r="B411" s="54" t="str">
        <f>IF(D411&lt;&gt;"",COUNTA($D$397:D411),"")</f>
        <v/>
      </c>
      <c r="C411" s="54"/>
      <c r="D411" s="100"/>
      <c r="E411" s="100"/>
      <c r="F411" s="101"/>
      <c r="G411" s="101"/>
      <c r="H411" s="102"/>
      <c r="I411" s="101"/>
      <c r="J411" s="101"/>
      <c r="K411" s="101"/>
      <c r="L411" s="102"/>
      <c r="M411" s="101"/>
      <c r="N411" s="103"/>
    </row>
    <row r="412" spans="2:15" ht="15.75" x14ac:dyDescent="0.25">
      <c r="B412" s="54">
        <f>IF(D412&lt;&gt;"",COUNTA($D$397:D412),"")</f>
        <v>14</v>
      </c>
      <c r="C412" s="54"/>
      <c r="D412" s="71" t="s">
        <v>27</v>
      </c>
      <c r="E412" s="71"/>
      <c r="F412" s="102"/>
      <c r="G412" s="89" t="str">
        <f>$G$28</f>
        <v>2026 In Effect</v>
      </c>
      <c r="I412" s="89" t="str">
        <f>$H$28</f>
        <v>2027 Proposed</v>
      </c>
      <c r="J412" s="102"/>
      <c r="K412" s="102"/>
      <c r="L412" s="102"/>
      <c r="M412" s="102"/>
      <c r="N412"/>
    </row>
    <row r="413" spans="2:15" ht="17.25" x14ac:dyDescent="0.35">
      <c r="B413" s="54">
        <f>IF(D413&lt;&gt;"",COUNTA($D$397:D413),"")</f>
        <v>15</v>
      </c>
      <c r="C413" s="54"/>
      <c r="D413" s="104" t="s">
        <v>27</v>
      </c>
      <c r="E413" s="71"/>
      <c r="F413" s="102"/>
      <c r="G413" s="105" t="s">
        <v>48</v>
      </c>
      <c r="H413" s="105"/>
      <c r="I413" s="105" t="s">
        <v>48</v>
      </c>
      <c r="J413" s="105" t="s">
        <v>46</v>
      </c>
      <c r="K413" s="102"/>
      <c r="L413" s="102"/>
      <c r="M413" s="102"/>
      <c r="N413"/>
    </row>
    <row r="414" spans="2:15" ht="15.75" x14ac:dyDescent="0.25">
      <c r="B414" s="54">
        <f>IF(D414&lt;&gt;"",COUNTA($D$397:D414),"")</f>
        <v>16</v>
      </c>
      <c r="C414" s="54"/>
      <c r="D414" s="71" t="s">
        <v>49</v>
      </c>
      <c r="E414" s="104"/>
      <c r="F414" s="102"/>
      <c r="G414" s="81">
        <v>15</v>
      </c>
      <c r="H414" s="81">
        <v>15</v>
      </c>
      <c r="J414" s="81">
        <f t="shared" ref="J414:J442" si="78">H414-G414</f>
        <v>0</v>
      </c>
      <c r="K414" s="102"/>
      <c r="L414" s="102"/>
      <c r="M414"/>
    </row>
    <row r="415" spans="2:15" ht="15.75" x14ac:dyDescent="0.25">
      <c r="B415" s="54">
        <f>IF(D415&lt;&gt;"",COUNTA($D$397:D415),"")</f>
        <v>17</v>
      </c>
      <c r="C415" s="54"/>
      <c r="D415" s="71" t="s">
        <v>50</v>
      </c>
      <c r="E415" s="104"/>
      <c r="F415" s="102"/>
      <c r="G415" s="85">
        <v>4.1709999999999997E-2</v>
      </c>
      <c r="H415" s="85">
        <v>4.1709999999999997E-2</v>
      </c>
      <c r="J415" s="85">
        <f t="shared" si="78"/>
        <v>0</v>
      </c>
      <c r="K415" s="102"/>
      <c r="L415" s="102"/>
      <c r="M415"/>
    </row>
    <row r="416" spans="2:15" ht="15.75" x14ac:dyDescent="0.25">
      <c r="B416" s="54">
        <f>IF(D416&lt;&gt;"",COUNTA($D$397:D416),"")</f>
        <v>18</v>
      </c>
      <c r="C416" s="54"/>
      <c r="D416" s="71" t="s">
        <v>51</v>
      </c>
      <c r="E416" s="106"/>
      <c r="F416" s="102"/>
      <c r="G416" s="85">
        <v>-1.0000000000000001E-5</v>
      </c>
      <c r="H416" s="85">
        <v>-1.0000000000000001E-5</v>
      </c>
      <c r="J416" s="85">
        <f t="shared" si="78"/>
        <v>0</v>
      </c>
      <c r="K416" s="102"/>
      <c r="L416" s="102"/>
      <c r="M416"/>
    </row>
    <row r="417" spans="2:13" ht="15.75" x14ac:dyDescent="0.25">
      <c r="B417" s="54">
        <f>IF(D417&lt;&gt;"",COUNTA($D$397:D417),"")</f>
        <v>19</v>
      </c>
      <c r="C417" s="54"/>
      <c r="D417" s="71" t="s">
        <v>52</v>
      </c>
      <c r="E417" s="106"/>
      <c r="F417" s="102"/>
      <c r="G417" s="85">
        <v>-3.4000000000000002E-4</v>
      </c>
      <c r="H417" s="85">
        <v>-3.4000000000000002E-4</v>
      </c>
      <c r="J417" s="85">
        <f t="shared" si="78"/>
        <v>0</v>
      </c>
      <c r="K417" s="102"/>
      <c r="L417" s="102"/>
      <c r="M417"/>
    </row>
    <row r="418" spans="2:13" ht="15.75" x14ac:dyDescent="0.25">
      <c r="B418" s="54">
        <f>IF(D418&lt;&gt;"",COUNTA($D$397:D418),"")</f>
        <v>20</v>
      </c>
      <c r="C418" s="54"/>
      <c r="D418" s="88" t="s">
        <v>53</v>
      </c>
      <c r="E418" s="104"/>
      <c r="F418" s="102"/>
      <c r="G418" s="85">
        <v>4.4999999999999997E-3</v>
      </c>
      <c r="H418" s="85">
        <v>4.4999999999999997E-3</v>
      </c>
      <c r="J418" s="85">
        <f t="shared" si="78"/>
        <v>0</v>
      </c>
      <c r="K418" s="102"/>
      <c r="L418" s="102"/>
      <c r="M418"/>
    </row>
    <row r="419" spans="2:13" ht="15.75" x14ac:dyDescent="0.25">
      <c r="B419" s="54">
        <f>IF(D419&lt;&gt;"",COUNTA($D$397:D419),"")</f>
        <v>21</v>
      </c>
      <c r="C419" s="54"/>
      <c r="D419" s="71" t="s">
        <v>54</v>
      </c>
      <c r="E419" s="104"/>
      <c r="F419" s="102"/>
      <c r="G419" s="85">
        <v>7.9799999999999992E-3</v>
      </c>
      <c r="H419" s="85">
        <v>7.9799999999999992E-3</v>
      </c>
      <c r="J419" s="85">
        <f t="shared" si="78"/>
        <v>0</v>
      </c>
      <c r="K419" s="102"/>
      <c r="L419" s="102"/>
      <c r="M419"/>
    </row>
    <row r="420" spans="2:13" ht="15.75" x14ac:dyDescent="0.25">
      <c r="B420" s="54">
        <f>IF(D420&lt;&gt;"",COUNTA($D$397:D420),"")</f>
        <v>22</v>
      </c>
      <c r="C420" s="54"/>
      <c r="D420" s="71" t="s">
        <v>55</v>
      </c>
      <c r="E420" s="104"/>
      <c r="F420" s="102"/>
      <c r="G420" s="85">
        <v>9.7000000000000005E-4</v>
      </c>
      <c r="H420" s="85">
        <v>9.7000000000000005E-4</v>
      </c>
      <c r="J420" s="85">
        <f t="shared" si="78"/>
        <v>0</v>
      </c>
      <c r="K420" s="102"/>
      <c r="L420" s="102"/>
      <c r="M420"/>
    </row>
    <row r="421" spans="2:13" ht="15.75" x14ac:dyDescent="0.25">
      <c r="B421" s="54">
        <f>IF(D421&lt;&gt;"",COUNTA($D$397:D421),"")</f>
        <v>23</v>
      </c>
      <c r="C421" s="54"/>
      <c r="D421" s="71" t="s">
        <v>56</v>
      </c>
      <c r="E421" s="104"/>
      <c r="F421" s="102"/>
      <c r="G421" s="85">
        <v>4.8300000000000001E-3</v>
      </c>
      <c r="H421" s="85">
        <v>4.8300000000000001E-3</v>
      </c>
      <c r="J421" s="85">
        <f t="shared" si="78"/>
        <v>0</v>
      </c>
      <c r="K421" s="102"/>
      <c r="L421" s="102"/>
      <c r="M421"/>
    </row>
    <row r="422" spans="2:13" ht="15.75" x14ac:dyDescent="0.25">
      <c r="B422" s="54">
        <f>IF(D422&lt;&gt;"",COUNTA($D$397:D422),"")</f>
        <v>24</v>
      </c>
      <c r="C422" s="54"/>
      <c r="D422" s="71" t="s">
        <v>57</v>
      </c>
      <c r="E422" s="104"/>
      <c r="F422" s="102"/>
      <c r="G422" s="85">
        <v>-3.6999999999999999E-4</v>
      </c>
      <c r="H422" s="85">
        <v>-3.6999999999999999E-4</v>
      </c>
      <c r="J422" s="85">
        <f t="shared" si="78"/>
        <v>0</v>
      </c>
      <c r="K422" s="102"/>
      <c r="L422" s="102" t="s">
        <v>27</v>
      </c>
      <c r="M422"/>
    </row>
    <row r="423" spans="2:13" ht="15.75" x14ac:dyDescent="0.25">
      <c r="B423" s="54">
        <f>IF(D423&lt;&gt;"",COUNTA($D$397:D423),"")</f>
        <v>25</v>
      </c>
      <c r="C423" s="54"/>
      <c r="D423" s="71" t="s">
        <v>58</v>
      </c>
      <c r="E423" s="104"/>
      <c r="F423" s="102"/>
      <c r="G423" s="85">
        <v>2.0000000000000002E-5</v>
      </c>
      <c r="H423" s="85">
        <v>2.0000000000000002E-5</v>
      </c>
      <c r="J423" s="85">
        <f t="shared" si="78"/>
        <v>0</v>
      </c>
      <c r="K423" s="102"/>
      <c r="L423" s="102"/>
      <c r="M423"/>
    </row>
    <row r="424" spans="2:13" ht="15.75" x14ac:dyDescent="0.25">
      <c r="B424" s="54">
        <f>IF(D424&lt;&gt;"",COUNTA($D$397:D424),"")</f>
        <v>26</v>
      </c>
      <c r="C424" s="54"/>
      <c r="D424" s="71" t="s">
        <v>59</v>
      </c>
      <c r="E424" s="104"/>
      <c r="F424" s="102"/>
      <c r="G424" s="85">
        <v>7.4200000000000004E-3</v>
      </c>
      <c r="H424" s="85">
        <v>7.4200000000000004E-3</v>
      </c>
      <c r="J424" s="85">
        <f t="shared" si="78"/>
        <v>0</v>
      </c>
      <c r="K424" s="102"/>
      <c r="L424" s="102"/>
      <c r="M424"/>
    </row>
    <row r="425" spans="2:13" ht="15.75" x14ac:dyDescent="0.25">
      <c r="B425" s="54">
        <f>IF(D425&lt;&gt;"",COUNTA($D$397:D425),"")</f>
        <v>27</v>
      </c>
      <c r="C425" s="54"/>
      <c r="D425" s="71" t="s">
        <v>60</v>
      </c>
      <c r="E425" s="104"/>
      <c r="F425" s="102"/>
      <c r="G425" s="85">
        <v>0</v>
      </c>
      <c r="H425" s="85">
        <v>0</v>
      </c>
      <c r="J425" s="85">
        <f t="shared" si="78"/>
        <v>0</v>
      </c>
      <c r="K425" s="102"/>
      <c r="L425" s="102"/>
      <c r="M425"/>
    </row>
    <row r="426" spans="2:13" ht="15.75" x14ac:dyDescent="0.25">
      <c r="B426" s="54">
        <f>IF(D426&lt;&gt;"",COUNTA($D$397:D426),"")</f>
        <v>28</v>
      </c>
      <c r="C426" s="54"/>
      <c r="D426" s="71" t="s">
        <v>61</v>
      </c>
      <c r="E426" s="104"/>
      <c r="F426" s="102"/>
      <c r="G426" s="85">
        <v>-5.5000000000000003E-4</v>
      </c>
      <c r="H426" s="85">
        <v>-5.5000000000000003E-4</v>
      </c>
      <c r="J426" s="85">
        <f t="shared" si="78"/>
        <v>0</v>
      </c>
      <c r="K426" s="102"/>
      <c r="L426" s="102"/>
      <c r="M426"/>
    </row>
    <row r="427" spans="2:13" ht="15.75" x14ac:dyDescent="0.25">
      <c r="B427" s="54">
        <f>IF(D427&lt;&gt;"",COUNTA($D$397:D427),"")</f>
        <v>29</v>
      </c>
      <c r="C427" s="54"/>
      <c r="D427" s="71" t="s">
        <v>62</v>
      </c>
      <c r="E427" s="106"/>
      <c r="F427" s="102"/>
      <c r="G427" s="85">
        <v>1.3999999999999999E-4</v>
      </c>
      <c r="H427" s="85">
        <v>1.3999999999999999E-4</v>
      </c>
      <c r="J427" s="85">
        <f t="shared" si="78"/>
        <v>0</v>
      </c>
      <c r="K427" s="102"/>
      <c r="L427" s="102"/>
      <c r="M427"/>
    </row>
    <row r="428" spans="2:13" ht="15.75" x14ac:dyDescent="0.25">
      <c r="B428" s="54">
        <f>IF(D428&lt;&gt;"",COUNTA($D$397:D428),"")</f>
        <v>30</v>
      </c>
      <c r="C428" s="54"/>
      <c r="D428" s="71" t="s">
        <v>63</v>
      </c>
      <c r="E428" s="104"/>
      <c r="F428" s="102"/>
      <c r="G428" s="85">
        <v>-2.4000000000000001E-4</v>
      </c>
      <c r="H428" s="85">
        <v>-2.4000000000000001E-4</v>
      </c>
      <c r="J428" s="85">
        <f t="shared" si="78"/>
        <v>0</v>
      </c>
      <c r="K428" s="102"/>
      <c r="L428" s="102"/>
      <c r="M428"/>
    </row>
    <row r="429" spans="2:13" ht="15.75" x14ac:dyDescent="0.25">
      <c r="B429" s="54">
        <f>IF(D429&lt;&gt;"",COUNTA($D$397:D429),"")</f>
        <v>31</v>
      </c>
      <c r="C429" s="54"/>
      <c r="D429" s="71" t="s">
        <v>64</v>
      </c>
      <c r="E429" s="104"/>
      <c r="F429" s="102"/>
      <c r="G429" s="85">
        <v>9.7999999999999997E-4</v>
      </c>
      <c r="H429" s="85">
        <v>9.7999999999999997E-4</v>
      </c>
      <c r="J429" s="85">
        <f t="shared" si="78"/>
        <v>0</v>
      </c>
      <c r="K429" s="102"/>
      <c r="L429" s="102"/>
      <c r="M429"/>
    </row>
    <row r="430" spans="2:13" ht="15.75" x14ac:dyDescent="0.25">
      <c r="B430" s="54">
        <f>IF(D430&lt;&gt;"",COUNTA($D$397:D430),"")</f>
        <v>32</v>
      </c>
      <c r="C430" s="54"/>
      <c r="D430" s="71" t="s">
        <v>65</v>
      </c>
      <c r="E430" s="104"/>
      <c r="F430" s="102"/>
      <c r="G430" s="85">
        <v>-7.1000000000000002E-4</v>
      </c>
      <c r="H430" s="85">
        <v>-7.1000000000000002E-4</v>
      </c>
      <c r="J430" s="85">
        <f t="shared" si="78"/>
        <v>0</v>
      </c>
      <c r="K430" s="102"/>
      <c r="L430" s="102"/>
      <c r="M430"/>
    </row>
    <row r="431" spans="2:13" ht="15.75" x14ac:dyDescent="0.25">
      <c r="B431" s="54">
        <f>IF(D431&lt;&gt;"",COUNTA($D$397:D431),"")</f>
        <v>33</v>
      </c>
      <c r="C431" s="54"/>
      <c r="D431" s="71" t="s">
        <v>66</v>
      </c>
      <c r="E431" s="104"/>
      <c r="F431" s="102"/>
      <c r="G431" s="85">
        <v>2.14E-3</v>
      </c>
      <c r="H431" s="85">
        <v>2.14E-3</v>
      </c>
      <c r="J431" s="85">
        <f t="shared" si="78"/>
        <v>0</v>
      </c>
      <c r="K431" s="102"/>
      <c r="L431" s="102"/>
      <c r="M431"/>
    </row>
    <row r="432" spans="2:13" ht="15.75" x14ac:dyDescent="0.25">
      <c r="B432" s="54">
        <f>IF(D432&lt;&gt;"",COUNTA($D$397:D432),"")</f>
        <v>34</v>
      </c>
      <c r="C432" s="54"/>
      <c r="D432" s="71" t="s">
        <v>67</v>
      </c>
      <c r="E432" s="104"/>
      <c r="F432" s="102"/>
      <c r="G432" s="85">
        <v>6.7200000000000003E-3</v>
      </c>
      <c r="H432" s="85">
        <v>6.7200000000000003E-3</v>
      </c>
      <c r="J432" s="85">
        <f t="shared" si="78"/>
        <v>0</v>
      </c>
      <c r="K432" s="102"/>
      <c r="L432" s="102"/>
      <c r="M432"/>
    </row>
    <row r="433" spans="2:15" ht="15.75" x14ac:dyDescent="0.25">
      <c r="B433" s="54">
        <f>IF(D433&lt;&gt;"",COUNTA($D$397:D433),"")</f>
        <v>35</v>
      </c>
      <c r="C433" s="54"/>
      <c r="D433" s="71" t="s">
        <v>68</v>
      </c>
      <c r="E433" s="104"/>
      <c r="F433" s="102"/>
      <c r="G433" s="85">
        <v>0</v>
      </c>
      <c r="H433" s="85">
        <v>0</v>
      </c>
      <c r="J433" s="85">
        <f>H433-G433</f>
        <v>0</v>
      </c>
      <c r="K433" s="102"/>
      <c r="L433" s="102"/>
      <c r="M433"/>
    </row>
    <row r="434" spans="2:15" ht="15.75" x14ac:dyDescent="0.25">
      <c r="B434" s="54">
        <f>IF(D434&lt;&gt;"",COUNTA($D$397:D434),"")</f>
        <v>36</v>
      </c>
      <c r="C434" s="54"/>
      <c r="D434" s="71" t="s">
        <v>69</v>
      </c>
      <c r="E434" s="104"/>
      <c r="F434" s="102"/>
      <c r="G434" s="85">
        <v>6.0000000000000002E-5</v>
      </c>
      <c r="H434" s="85">
        <v>6.0000000000000002E-5</v>
      </c>
      <c r="J434" s="85">
        <f>H434-G434</f>
        <v>0</v>
      </c>
      <c r="K434" s="102"/>
      <c r="L434" s="102"/>
      <c r="M434"/>
    </row>
    <row r="435" spans="2:15" ht="15.75" x14ac:dyDescent="0.25">
      <c r="B435" s="54">
        <f>IF(D435&lt;&gt;"",COUNTA($D$397:D435),"")</f>
        <v>37</v>
      </c>
      <c r="C435" s="54"/>
      <c r="D435" s="71" t="s">
        <v>70</v>
      </c>
      <c r="E435" s="104"/>
      <c r="F435" s="102"/>
      <c r="G435" s="85">
        <v>1.0000000000000001E-5</v>
      </c>
      <c r="H435" s="85">
        <v>1.0000000000000001E-5</v>
      </c>
      <c r="J435" s="85">
        <f>H435-G435</f>
        <v>0</v>
      </c>
      <c r="K435" s="102"/>
      <c r="L435" s="102"/>
      <c r="M435"/>
    </row>
    <row r="436" spans="2:15" ht="15.75" x14ac:dyDescent="0.25">
      <c r="B436" s="54">
        <f>IF(D436&lt;&gt;"",COUNTA($D$397:D436),"")</f>
        <v>38</v>
      </c>
      <c r="C436" s="54"/>
      <c r="D436" s="71" t="s">
        <v>71</v>
      </c>
      <c r="E436" s="104"/>
      <c r="F436" s="102"/>
      <c r="G436" s="85">
        <v>7.9000000000000001E-4</v>
      </c>
      <c r="H436" s="85">
        <v>7.9000000000000001E-4</v>
      </c>
      <c r="J436" s="85">
        <f>H436-G436</f>
        <v>0</v>
      </c>
      <c r="K436" s="102"/>
      <c r="L436" s="102"/>
      <c r="M436"/>
    </row>
    <row r="437" spans="2:15" ht="15.75" x14ac:dyDescent="0.25">
      <c r="B437" s="54">
        <f>IF(D437&lt;&gt;"",COUNTA($D$397:D437),"")</f>
        <v>39</v>
      </c>
      <c r="C437" s="54"/>
      <c r="D437" s="71" t="s">
        <v>72</v>
      </c>
      <c r="E437" s="104"/>
      <c r="F437" s="102"/>
      <c r="G437" s="85">
        <v>-7.6999999999999996E-4</v>
      </c>
      <c r="H437" s="85">
        <v>-7.6999999999999996E-4</v>
      </c>
      <c r="J437" s="85">
        <f t="shared" si="78"/>
        <v>0</v>
      </c>
      <c r="K437" s="102"/>
      <c r="L437" s="102"/>
      <c r="M437"/>
    </row>
    <row r="438" spans="2:15" ht="15.75" x14ac:dyDescent="0.25">
      <c r="B438" s="54">
        <f>IF(D438&lt;&gt;"",COUNTA($D$397:D438),"")</f>
        <v>40</v>
      </c>
      <c r="C438" s="54"/>
      <c r="D438" s="71" t="s">
        <v>73</v>
      </c>
      <c r="E438" s="104"/>
      <c r="F438" s="102"/>
      <c r="G438" s="85">
        <v>4.5870000000000001E-2</v>
      </c>
      <c r="H438" s="85">
        <v>4.5870000000000001E-2</v>
      </c>
      <c r="J438" s="85">
        <f t="shared" si="78"/>
        <v>0</v>
      </c>
      <c r="K438" s="102"/>
      <c r="L438" s="102"/>
      <c r="M438"/>
    </row>
    <row r="439" spans="2:15" ht="15.75" x14ac:dyDescent="0.25">
      <c r="B439" s="54">
        <f>IF(D439&lt;&gt;"",COUNTA($D$397:D439),"")</f>
        <v>41</v>
      </c>
      <c r="C439" s="54"/>
      <c r="D439" s="71" t="s">
        <v>74</v>
      </c>
      <c r="E439" s="104"/>
      <c r="F439" s="102"/>
      <c r="G439" s="85">
        <v>2.682E-2</v>
      </c>
      <c r="H439" s="85">
        <v>3.4909999999999997E-2</v>
      </c>
      <c r="J439" s="85">
        <f t="shared" si="78"/>
        <v>8.0899999999999965E-3</v>
      </c>
      <c r="K439" s="102"/>
      <c r="L439" s="102"/>
      <c r="M439"/>
    </row>
    <row r="440" spans="2:15" ht="15.75" x14ac:dyDescent="0.25">
      <c r="B440" s="54">
        <f>IF(D440&lt;&gt;"",COUNTA($D$397:D440),"")</f>
        <v>42</v>
      </c>
      <c r="C440" s="54"/>
      <c r="D440" s="71" t="s">
        <v>75</v>
      </c>
      <c r="E440" s="104"/>
      <c r="F440" s="102"/>
      <c r="G440" s="85">
        <v>2.5000000000000001E-3</v>
      </c>
      <c r="H440" s="85">
        <v>2.5000000000000001E-3</v>
      </c>
      <c r="J440" s="85">
        <f t="shared" si="78"/>
        <v>0</v>
      </c>
      <c r="K440" s="102"/>
      <c r="L440" s="102"/>
      <c r="M440"/>
    </row>
    <row r="441" spans="2:15" ht="15.75" x14ac:dyDescent="0.25">
      <c r="B441" s="54">
        <f>IF(D441&lt;&gt;"",COUNTA($D$397:D441),"")</f>
        <v>43</v>
      </c>
      <c r="C441" s="54"/>
      <c r="D441" s="71" t="s">
        <v>76</v>
      </c>
      <c r="E441" s="104"/>
      <c r="F441" s="102"/>
      <c r="G441" s="85">
        <v>5.0000000000000001E-4</v>
      </c>
      <c r="H441" s="85">
        <v>5.0000000000000001E-4</v>
      </c>
      <c r="J441" s="85">
        <f t="shared" si="78"/>
        <v>0</v>
      </c>
      <c r="K441" s="102"/>
      <c r="L441" s="102"/>
      <c r="M441"/>
    </row>
    <row r="442" spans="2:15" ht="15.75" x14ac:dyDescent="0.25">
      <c r="B442" s="54">
        <f>IF(D442&lt;&gt;"",COUNTA($D$397:D442),"")</f>
        <v>44</v>
      </c>
      <c r="C442" s="54"/>
      <c r="D442" s="51" t="s">
        <v>77</v>
      </c>
      <c r="E442" s="104"/>
      <c r="F442" s="102"/>
      <c r="G442" s="85">
        <v>0.16466</v>
      </c>
      <c r="H442" s="85">
        <v>0.16466</v>
      </c>
      <c r="J442" s="85">
        <f t="shared" si="78"/>
        <v>0</v>
      </c>
      <c r="K442" s="102"/>
      <c r="L442" s="102"/>
      <c r="M442"/>
      <c r="N442" s="46" t="s">
        <v>27</v>
      </c>
    </row>
    <row r="445" spans="2:15" ht="15.75" x14ac:dyDescent="0.25">
      <c r="B445" s="92" t="str">
        <f>$B$3</f>
        <v>Cape Light Compact JPE</v>
      </c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</row>
    <row r="446" spans="2:15" ht="15.75" x14ac:dyDescent="0.25">
      <c r="B446" s="92" t="str">
        <f>$B$4</f>
        <v>Calculation of Monthly Typical Bill</v>
      </c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</row>
    <row r="447" spans="2:15" ht="15.75" x14ac:dyDescent="0.25">
      <c r="B447" s="92" t="str">
        <f>$B$5</f>
        <v>Proposed January 1, 2027</v>
      </c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</row>
    <row r="448" spans="2:15" ht="15.75" x14ac:dyDescent="0.25">
      <c r="B448" s="107"/>
      <c r="C448" s="107"/>
      <c r="D448" s="71"/>
      <c r="E448" s="71"/>
      <c r="F448" s="95"/>
      <c r="G448" s="96"/>
      <c r="H448" s="97"/>
      <c r="I448" s="71"/>
      <c r="J448" s="71"/>
      <c r="K448" s="71"/>
      <c r="L448" s="71"/>
      <c r="M448" s="71"/>
      <c r="N448" s="71"/>
      <c r="O448" s="71"/>
    </row>
    <row r="449" spans="2:17" ht="15.75" x14ac:dyDescent="0.25">
      <c r="B449" s="108" t="s">
        <v>28</v>
      </c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</row>
    <row r="450" spans="2:17" ht="15.75" x14ac:dyDescent="0.25">
      <c r="B450" s="98"/>
      <c r="C450" s="98"/>
      <c r="D450" s="109"/>
      <c r="E450" s="71"/>
      <c r="F450" s="71"/>
      <c r="G450" s="71"/>
      <c r="H450" s="99"/>
      <c r="I450" s="71"/>
      <c r="J450"/>
      <c r="K450"/>
      <c r="L450"/>
      <c r="M450"/>
      <c r="N450"/>
      <c r="O450"/>
    </row>
    <row r="451" spans="2:17" ht="15.75" x14ac:dyDescent="0.25">
      <c r="B451" s="54"/>
      <c r="C451" s="54"/>
      <c r="D451" s="71"/>
      <c r="E451" s="71"/>
      <c r="F451" s="71"/>
      <c r="G451" s="71"/>
      <c r="H451" s="99"/>
      <c r="I451" s="71"/>
      <c r="J451"/>
      <c r="K451"/>
      <c r="L451"/>
      <c r="M451"/>
      <c r="N451"/>
      <c r="O451"/>
    </row>
    <row r="452" spans="2:17" ht="15.75" x14ac:dyDescent="0.25">
      <c r="B452" s="54">
        <f>IF(D452&lt;&gt;"",COUNTA($D$452:D452),"")</f>
        <v>1</v>
      </c>
      <c r="C452" s="54"/>
      <c r="D452" s="98" t="s">
        <v>40</v>
      </c>
      <c r="E452" s="98" t="s">
        <v>40</v>
      </c>
      <c r="F452" s="56" t="str">
        <f>$F$10</f>
        <v>2026 In Effect</v>
      </c>
      <c r="G452" s="56"/>
      <c r="H452" s="56"/>
      <c r="I452" s="51"/>
      <c r="J452" s="56" t="str">
        <f>$J$10</f>
        <v>2027 Proposed</v>
      </c>
      <c r="K452" s="57"/>
      <c r="L452" s="57"/>
      <c r="M452"/>
      <c r="N452" s="57" t="str">
        <f>$N$10</f>
        <v>Total Bill Impact</v>
      </c>
      <c r="O452" s="57"/>
    </row>
    <row r="453" spans="2:17" ht="15.75" x14ac:dyDescent="0.25">
      <c r="B453" s="54">
        <f>IF(D453&lt;&gt;"",COUNTA($D$452:D453),"")</f>
        <v>2</v>
      </c>
      <c r="C453" s="54"/>
      <c r="D453" s="110" t="s">
        <v>89</v>
      </c>
      <c r="E453" s="110" t="s">
        <v>42</v>
      </c>
      <c r="F453" s="110" t="s">
        <v>43</v>
      </c>
      <c r="G453" s="110" t="s">
        <v>44</v>
      </c>
      <c r="H453" s="110" t="s">
        <v>45</v>
      </c>
      <c r="I453" s="71"/>
      <c r="J453" s="110" t="s">
        <v>43</v>
      </c>
      <c r="K453" s="110" t="s">
        <v>44</v>
      </c>
      <c r="L453" s="110" t="s">
        <v>45</v>
      </c>
      <c r="M453"/>
      <c r="N453" s="110" t="s">
        <v>46</v>
      </c>
      <c r="O453" s="110" t="s">
        <v>10</v>
      </c>
    </row>
    <row r="454" spans="2:17" ht="15.75" x14ac:dyDescent="0.25">
      <c r="B454" s="54" t="str">
        <f>IF(D454&lt;&gt;"",COUNTA($D$452:D454),"")</f>
        <v/>
      </c>
      <c r="C454" s="54"/>
      <c r="D454" s="110"/>
      <c r="E454" s="110"/>
      <c r="F454" s="110"/>
      <c r="G454" s="110"/>
      <c r="H454" s="110"/>
      <c r="I454" s="71"/>
      <c r="J454" s="110"/>
      <c r="K454" s="110"/>
      <c r="L454" s="110"/>
      <c r="M454"/>
      <c r="N454" s="110"/>
      <c r="O454" s="110"/>
    </row>
    <row r="455" spans="2:17" ht="15.75" x14ac:dyDescent="0.25">
      <c r="B455" s="54">
        <f>IF(D455&lt;&gt;"",COUNTA($D$452:D455),"")</f>
        <v>3</v>
      </c>
      <c r="C455" s="54"/>
      <c r="D455" s="54" t="s">
        <v>90</v>
      </c>
      <c r="E455" s="98">
        <v>185</v>
      </c>
      <c r="F455" s="111"/>
      <c r="G455" s="110"/>
      <c r="H455" s="110"/>
      <c r="I455" s="110"/>
      <c r="J455" s="71"/>
      <c r="K455" s="110"/>
      <c r="L455" s="110"/>
      <c r="M455" s="110"/>
      <c r="N455"/>
      <c r="O455" s="112"/>
      <c r="P455" s="110"/>
    </row>
    <row r="456" spans="2:17" x14ac:dyDescent="0.2">
      <c r="B456" s="54">
        <f>IF(D456&lt;&gt;"",COUNTA($D$452:D456),"")</f>
        <v>4</v>
      </c>
      <c r="C456" s="54"/>
      <c r="D456" s="54">
        <v>80</v>
      </c>
      <c r="E456" s="113">
        <f t="shared" ref="E456:E463" si="79">D456*$E$455</f>
        <v>14800</v>
      </c>
      <c r="F456" s="114">
        <f t="shared" ref="F456:F463" si="80">ROUND($H$488+$D456*SUM($H$489,$H$513)+$E456*SUM($H$490:$H$512,$H$514:$H$516),2)</f>
        <v>2797.03</v>
      </c>
      <c r="G456" s="114">
        <f t="shared" ref="G456:G463" si="81">ROUND($H$517*$E456,2)</f>
        <v>3028.67</v>
      </c>
      <c r="H456" s="101">
        <f t="shared" ref="H456:H463" si="82">SUM(F456:G456)</f>
        <v>5825.7000000000007</v>
      </c>
      <c r="I456" s="101"/>
      <c r="J456" s="114">
        <f t="shared" ref="J456:J463" si="83">ROUND($J$488+$D456*SUM($J$489,$J$513)+$E456*SUM($J$490:$J$512,$J$514:$J$516),2)</f>
        <v>2916.76</v>
      </c>
      <c r="K456" s="114">
        <f t="shared" ref="K456:K463" si="84">ROUND($J$517*$E456,2)</f>
        <v>3028.67</v>
      </c>
      <c r="L456" s="101">
        <f t="shared" ref="L456:L463" si="85">SUM(J456:K456)</f>
        <v>5945.43</v>
      </c>
      <c r="M456" s="101"/>
      <c r="N456" s="102">
        <f t="shared" ref="N456:N463" si="86">+L456-H456</f>
        <v>119.72999999999956</v>
      </c>
      <c r="O456" s="115">
        <f t="shared" ref="O456:O463" si="87">+N456/H456</f>
        <v>2.055203666512171E-2</v>
      </c>
      <c r="P456" s="103"/>
    </row>
    <row r="457" spans="2:17" x14ac:dyDescent="0.2">
      <c r="B457" s="54">
        <f>IF(D457&lt;&gt;"",COUNTA($D$452:D457),"")</f>
        <v>5</v>
      </c>
      <c r="C457" s="54"/>
      <c r="D457" s="54">
        <v>120</v>
      </c>
      <c r="E457" s="113">
        <f t="shared" si="79"/>
        <v>22200</v>
      </c>
      <c r="F457" s="114">
        <f t="shared" si="80"/>
        <v>4010.54</v>
      </c>
      <c r="G457" s="114">
        <f t="shared" si="81"/>
        <v>4543.01</v>
      </c>
      <c r="H457" s="101">
        <f t="shared" si="82"/>
        <v>8553.5499999999993</v>
      </c>
      <c r="I457" s="101"/>
      <c r="J457" s="114">
        <f t="shared" si="83"/>
        <v>4190.1400000000003</v>
      </c>
      <c r="K457" s="114">
        <f t="shared" si="84"/>
        <v>4543.01</v>
      </c>
      <c r="L457" s="101">
        <f t="shared" si="85"/>
        <v>8733.1500000000015</v>
      </c>
      <c r="M457" s="101"/>
      <c r="N457" s="102">
        <f t="shared" si="86"/>
        <v>179.60000000000218</v>
      </c>
      <c r="O457" s="115">
        <f t="shared" si="87"/>
        <v>2.0997129846672107E-2</v>
      </c>
      <c r="P457" s="103"/>
    </row>
    <row r="458" spans="2:17" x14ac:dyDescent="0.2">
      <c r="B458" s="54">
        <f>IF(D458&lt;&gt;"",COUNTA($D$452:D458),"")</f>
        <v>6</v>
      </c>
      <c r="C458" s="54"/>
      <c r="D458" s="54">
        <v>140</v>
      </c>
      <c r="E458" s="113">
        <f t="shared" si="79"/>
        <v>25900</v>
      </c>
      <c r="F458" s="114">
        <f t="shared" si="80"/>
        <v>4617.3</v>
      </c>
      <c r="G458" s="114">
        <f t="shared" si="81"/>
        <v>5300.18</v>
      </c>
      <c r="H458" s="101">
        <f t="shared" si="82"/>
        <v>9917.48</v>
      </c>
      <c r="I458" s="101"/>
      <c r="J458" s="114">
        <f t="shared" si="83"/>
        <v>4826.83</v>
      </c>
      <c r="K458" s="114">
        <f t="shared" si="84"/>
        <v>5300.18</v>
      </c>
      <c r="L458" s="101">
        <f t="shared" si="85"/>
        <v>10127.01</v>
      </c>
      <c r="M458" s="101"/>
      <c r="N458" s="102">
        <f t="shared" si="86"/>
        <v>209.53000000000065</v>
      </c>
      <c r="O458" s="115">
        <f t="shared" si="87"/>
        <v>2.1127342833058466E-2</v>
      </c>
      <c r="P458" s="103"/>
    </row>
    <row r="459" spans="2:17" x14ac:dyDescent="0.2">
      <c r="B459" s="54">
        <f>IF(D459&lt;&gt;"",COUNTA($D$452:D459),"")</f>
        <v>7</v>
      </c>
      <c r="C459" s="54"/>
      <c r="D459" s="54">
        <v>170</v>
      </c>
      <c r="E459" s="113">
        <f t="shared" si="79"/>
        <v>31450</v>
      </c>
      <c r="F459" s="114">
        <f t="shared" si="80"/>
        <v>5527.43</v>
      </c>
      <c r="G459" s="114">
        <f t="shared" si="81"/>
        <v>6435.93</v>
      </c>
      <c r="H459" s="101">
        <f t="shared" si="82"/>
        <v>11963.36</v>
      </c>
      <c r="I459" s="101"/>
      <c r="J459" s="114">
        <f t="shared" si="83"/>
        <v>5781.87</v>
      </c>
      <c r="K459" s="114">
        <f t="shared" si="84"/>
        <v>6435.93</v>
      </c>
      <c r="L459" s="101">
        <f t="shared" si="85"/>
        <v>12217.8</v>
      </c>
      <c r="M459" s="101"/>
      <c r="N459" s="102">
        <f t="shared" si="86"/>
        <v>254.43999999999869</v>
      </c>
      <c r="O459" s="115">
        <f t="shared" si="87"/>
        <v>2.1268272458573399E-2</v>
      </c>
      <c r="P459" s="103"/>
    </row>
    <row r="460" spans="2:17" x14ac:dyDescent="0.2">
      <c r="B460" s="54">
        <f>IF(D460&lt;&gt;"",COUNTA($D$452:D460),"")</f>
        <v>8</v>
      </c>
      <c r="C460" s="54"/>
      <c r="D460" s="54">
        <v>215</v>
      </c>
      <c r="E460" s="113">
        <f t="shared" si="79"/>
        <v>39775</v>
      </c>
      <c r="F460" s="114">
        <f t="shared" si="80"/>
        <v>6892.64</v>
      </c>
      <c r="G460" s="114">
        <f t="shared" si="81"/>
        <v>8139.56</v>
      </c>
      <c r="H460" s="101">
        <f t="shared" si="82"/>
        <v>15032.2</v>
      </c>
      <c r="I460" s="101"/>
      <c r="J460" s="114">
        <f t="shared" si="83"/>
        <v>7214.42</v>
      </c>
      <c r="K460" s="114">
        <f t="shared" si="84"/>
        <v>8139.56</v>
      </c>
      <c r="L460" s="101">
        <f t="shared" si="85"/>
        <v>15353.98</v>
      </c>
      <c r="M460" s="101"/>
      <c r="N460" s="102">
        <f t="shared" si="86"/>
        <v>321.77999999999884</v>
      </c>
      <c r="O460" s="115">
        <f t="shared" si="87"/>
        <v>2.1406048349542902E-2</v>
      </c>
      <c r="P460" s="103"/>
    </row>
    <row r="461" spans="2:17" x14ac:dyDescent="0.2">
      <c r="B461" s="54">
        <f>IF(D461&lt;&gt;"",COUNTA($D$452:D461),"")</f>
        <v>9</v>
      </c>
      <c r="C461" s="54"/>
      <c r="D461" s="54">
        <v>290</v>
      </c>
      <c r="E461" s="113">
        <f t="shared" si="79"/>
        <v>53650</v>
      </c>
      <c r="F461" s="114">
        <f t="shared" si="80"/>
        <v>9167.98</v>
      </c>
      <c r="G461" s="114">
        <f t="shared" si="81"/>
        <v>10978.94</v>
      </c>
      <c r="H461" s="101">
        <f t="shared" si="82"/>
        <v>20146.919999999998</v>
      </c>
      <c r="I461" s="101"/>
      <c r="J461" s="114">
        <f t="shared" si="83"/>
        <v>9602.01</v>
      </c>
      <c r="K461" s="114">
        <f t="shared" si="84"/>
        <v>10978.94</v>
      </c>
      <c r="L461" s="101">
        <f t="shared" si="85"/>
        <v>20580.95</v>
      </c>
      <c r="M461" s="101"/>
      <c r="N461" s="102">
        <f t="shared" si="86"/>
        <v>434.03000000000247</v>
      </c>
      <c r="O461" s="115">
        <f t="shared" si="87"/>
        <v>2.1543243334465143E-2</v>
      </c>
      <c r="P461" s="103"/>
    </row>
    <row r="462" spans="2:17" x14ac:dyDescent="0.2">
      <c r="B462" s="54">
        <f>IF(D462&lt;&gt;"",COUNTA($D$452:D462),"")</f>
        <v>10</v>
      </c>
      <c r="C462" s="54"/>
      <c r="D462" s="54">
        <v>500</v>
      </c>
      <c r="E462" s="113">
        <f t="shared" si="79"/>
        <v>92500</v>
      </c>
      <c r="F462" s="114">
        <f t="shared" si="80"/>
        <v>15538.93</v>
      </c>
      <c r="G462" s="114">
        <f t="shared" si="81"/>
        <v>18929.2</v>
      </c>
      <c r="H462" s="101">
        <f t="shared" si="82"/>
        <v>34468.130000000005</v>
      </c>
      <c r="I462" s="101"/>
      <c r="J462" s="114">
        <f t="shared" si="83"/>
        <v>16287.25</v>
      </c>
      <c r="K462" s="114">
        <f t="shared" si="84"/>
        <v>18929.2</v>
      </c>
      <c r="L462" s="101">
        <f t="shared" si="85"/>
        <v>35216.449999999997</v>
      </c>
      <c r="M462" s="101"/>
      <c r="N462" s="102">
        <f t="shared" si="86"/>
        <v>748.31999999999243</v>
      </c>
      <c r="O462" s="115">
        <f t="shared" si="87"/>
        <v>2.1710490241274832E-2</v>
      </c>
      <c r="Q462" s="63"/>
    </row>
    <row r="463" spans="2:17" x14ac:dyDescent="0.2">
      <c r="B463" s="54">
        <f>IF(D463&lt;&gt;"",COUNTA($D$452:D463),"")</f>
        <v>11</v>
      </c>
      <c r="C463" s="54" t="s">
        <v>47</v>
      </c>
      <c r="D463" s="54">
        <v>215</v>
      </c>
      <c r="E463" s="113">
        <f t="shared" si="79"/>
        <v>39775</v>
      </c>
      <c r="F463" s="114">
        <f t="shared" si="80"/>
        <v>6892.64</v>
      </c>
      <c r="G463" s="114">
        <f t="shared" si="81"/>
        <v>8139.56</v>
      </c>
      <c r="H463" s="101">
        <f t="shared" si="82"/>
        <v>15032.2</v>
      </c>
      <c r="I463" s="101"/>
      <c r="J463" s="114">
        <f t="shared" si="83"/>
        <v>7214.42</v>
      </c>
      <c r="K463" s="114">
        <f t="shared" si="84"/>
        <v>8139.56</v>
      </c>
      <c r="L463" s="101">
        <f t="shared" si="85"/>
        <v>15353.98</v>
      </c>
      <c r="M463" s="101"/>
      <c r="N463" s="102">
        <f t="shared" si="86"/>
        <v>321.77999999999884</v>
      </c>
      <c r="O463" s="115">
        <f t="shared" si="87"/>
        <v>2.1406048349542902E-2</v>
      </c>
    </row>
    <row r="464" spans="2:17" x14ac:dyDescent="0.2">
      <c r="B464" s="54" t="str">
        <f>IF(D464&lt;&gt;"",COUNTA($D$452:D464),"")</f>
        <v/>
      </c>
      <c r="C464" s="54"/>
      <c r="D464" s="100"/>
      <c r="E464" s="100"/>
      <c r="F464" s="114"/>
      <c r="G464" s="101"/>
      <c r="H464" s="101"/>
      <c r="I464" s="102"/>
      <c r="J464" s="101"/>
      <c r="K464" s="101"/>
      <c r="L464" s="101"/>
      <c r="M464" s="102"/>
      <c r="N464" s="101"/>
      <c r="O464" s="115"/>
    </row>
    <row r="465" spans="2:20" ht="15.75" x14ac:dyDescent="0.25">
      <c r="B465" s="54">
        <f>IF(D465&lt;&gt;"",COUNTA($D$452:D465),"")</f>
        <v>12</v>
      </c>
      <c r="C465" s="54"/>
      <c r="D465" s="54" t="s">
        <v>90</v>
      </c>
      <c r="E465" s="98">
        <v>360</v>
      </c>
      <c r="F465" s="111"/>
      <c r="G465" s="110"/>
      <c r="H465" s="110"/>
      <c r="I465" s="110"/>
      <c r="J465" s="110"/>
      <c r="K465" s="110"/>
      <c r="L465" s="110"/>
      <c r="M465" s="110"/>
      <c r="N465"/>
      <c r="O465" s="116"/>
      <c r="P465" s="110"/>
    </row>
    <row r="466" spans="2:20" x14ac:dyDescent="0.2">
      <c r="B466" s="54">
        <f>IF(D466&lt;&gt;"",COUNTA($D$452:D466),"")</f>
        <v>13</v>
      </c>
      <c r="C466" s="54"/>
      <c r="D466" s="54">
        <v>85</v>
      </c>
      <c r="E466" s="113">
        <f t="shared" ref="E466:E473" si="88">D466*$E$465</f>
        <v>30600</v>
      </c>
      <c r="F466" s="114">
        <f t="shared" ref="F466:F473" si="89">ROUND($H$488+$D466*SUM($H$489,$H$513)+$E466*SUM($H$490:$H$512,$H$514:$H$516),2)</f>
        <v>3984.17</v>
      </c>
      <c r="G466" s="114">
        <f t="shared" ref="G466:G473" si="90">ROUND($H$517*$E466,2)</f>
        <v>6261.98</v>
      </c>
      <c r="H466" s="101">
        <f t="shared" ref="H466:H473" si="91">SUM(F466:G466)</f>
        <v>10246.15</v>
      </c>
      <c r="I466" s="101"/>
      <c r="J466" s="114">
        <f t="shared" ref="J466:J473" si="92">ROUND($J$488+$D466*SUM($J$489,$J$513)+$E466*SUM($J$490:$J$512,$J$514:$J$516),2)</f>
        <v>4231.72</v>
      </c>
      <c r="K466" s="114">
        <f t="shared" ref="K466:K473" si="93">ROUND($J$517*$E466,2)</f>
        <v>6261.98</v>
      </c>
      <c r="L466" s="101">
        <f t="shared" ref="L466:L473" si="94">SUM(J466:K466)</f>
        <v>10493.7</v>
      </c>
      <c r="M466" s="101"/>
      <c r="N466" s="102">
        <f t="shared" ref="N466:N473" si="95">+L466-H466</f>
        <v>247.55000000000109</v>
      </c>
      <c r="O466" s="115">
        <f t="shared" ref="O466:O473" si="96">+N466/H466</f>
        <v>2.4160294354464956E-2</v>
      </c>
      <c r="P466" s="103"/>
    </row>
    <row r="467" spans="2:20" x14ac:dyDescent="0.2">
      <c r="B467" s="54">
        <f>IF(D467&lt;&gt;"",COUNTA($D$452:D467),"")</f>
        <v>14</v>
      </c>
      <c r="C467" s="54"/>
      <c r="D467" s="54">
        <v>115</v>
      </c>
      <c r="E467" s="113">
        <f t="shared" si="88"/>
        <v>41400</v>
      </c>
      <c r="F467" s="114">
        <f t="shared" si="89"/>
        <v>5259.75</v>
      </c>
      <c r="G467" s="114">
        <f t="shared" si="90"/>
        <v>8472.1</v>
      </c>
      <c r="H467" s="101">
        <f t="shared" si="91"/>
        <v>13731.85</v>
      </c>
      <c r="I467" s="101"/>
      <c r="J467" s="114">
        <f t="shared" si="92"/>
        <v>5594.68</v>
      </c>
      <c r="K467" s="114">
        <f t="shared" si="93"/>
        <v>8472.1</v>
      </c>
      <c r="L467" s="101">
        <f t="shared" si="94"/>
        <v>14066.78</v>
      </c>
      <c r="M467" s="101"/>
      <c r="N467" s="102">
        <f t="shared" si="95"/>
        <v>334.93000000000029</v>
      </c>
      <c r="O467" s="115">
        <f t="shared" si="96"/>
        <v>2.4390741232972999E-2</v>
      </c>
      <c r="P467" s="103"/>
    </row>
    <row r="468" spans="2:20" x14ac:dyDescent="0.2">
      <c r="B468" s="54">
        <f>IF(D468&lt;&gt;"",COUNTA($D$452:D468),"")</f>
        <v>15</v>
      </c>
      <c r="C468" s="54"/>
      <c r="D468" s="54">
        <v>140</v>
      </c>
      <c r="E468" s="113">
        <f t="shared" si="88"/>
        <v>50400</v>
      </c>
      <c r="F468" s="114">
        <f t="shared" si="89"/>
        <v>6322.74</v>
      </c>
      <c r="G468" s="114">
        <f t="shared" si="90"/>
        <v>10313.86</v>
      </c>
      <c r="H468" s="101">
        <f t="shared" si="91"/>
        <v>16636.599999999999</v>
      </c>
      <c r="I468" s="101"/>
      <c r="J468" s="114">
        <f t="shared" si="92"/>
        <v>6730.48</v>
      </c>
      <c r="K468" s="114">
        <f t="shared" si="93"/>
        <v>10313.86</v>
      </c>
      <c r="L468" s="101">
        <f t="shared" si="94"/>
        <v>17044.34</v>
      </c>
      <c r="M468" s="101"/>
      <c r="N468" s="102">
        <f t="shared" si="95"/>
        <v>407.7400000000016</v>
      </c>
      <c r="O468" s="115">
        <f t="shared" si="96"/>
        <v>2.4508613538824137E-2</v>
      </c>
      <c r="P468" s="103"/>
      <c r="S468" s="46" t="s">
        <v>27</v>
      </c>
    </row>
    <row r="469" spans="2:20" x14ac:dyDescent="0.2">
      <c r="B469" s="54">
        <f>IF(D469&lt;&gt;"",COUNTA($D$452:D469),"")</f>
        <v>16</v>
      </c>
      <c r="C469" s="54"/>
      <c r="D469" s="54">
        <v>170</v>
      </c>
      <c r="E469" s="113">
        <f t="shared" si="88"/>
        <v>61200</v>
      </c>
      <c r="F469" s="114">
        <f t="shared" si="89"/>
        <v>7598.33</v>
      </c>
      <c r="G469" s="114">
        <f t="shared" si="90"/>
        <v>12523.97</v>
      </c>
      <c r="H469" s="101">
        <f t="shared" si="91"/>
        <v>20122.3</v>
      </c>
      <c r="I469" s="101"/>
      <c r="J469" s="114">
        <f t="shared" si="92"/>
        <v>8093.44</v>
      </c>
      <c r="K469" s="114">
        <f t="shared" si="93"/>
        <v>12523.97</v>
      </c>
      <c r="L469" s="101">
        <f t="shared" si="94"/>
        <v>20617.41</v>
      </c>
      <c r="M469" s="101"/>
      <c r="N469" s="102">
        <f t="shared" si="95"/>
        <v>495.11000000000058</v>
      </c>
      <c r="O469" s="115">
        <f t="shared" si="96"/>
        <v>2.4605040179303587E-2</v>
      </c>
      <c r="P469" s="103"/>
    </row>
    <row r="470" spans="2:20" x14ac:dyDescent="0.2">
      <c r="B470" s="54">
        <f>IF(D470&lt;&gt;"",COUNTA($D$452:D470),"")</f>
        <v>17</v>
      </c>
      <c r="C470" s="54"/>
      <c r="D470" s="54">
        <v>200</v>
      </c>
      <c r="E470" s="113">
        <f t="shared" si="88"/>
        <v>72000</v>
      </c>
      <c r="F470" s="114">
        <f t="shared" si="89"/>
        <v>8873.92</v>
      </c>
      <c r="G470" s="114">
        <f t="shared" si="90"/>
        <v>14734.08</v>
      </c>
      <c r="H470" s="101">
        <f t="shared" si="91"/>
        <v>23608</v>
      </c>
      <c r="I470" s="101"/>
      <c r="J470" s="114">
        <f t="shared" si="92"/>
        <v>9456.4</v>
      </c>
      <c r="K470" s="114">
        <f t="shared" si="93"/>
        <v>14734.08</v>
      </c>
      <c r="L470" s="101">
        <f t="shared" si="94"/>
        <v>24190.48</v>
      </c>
      <c r="M470" s="101"/>
      <c r="N470" s="102">
        <f t="shared" si="95"/>
        <v>582.47999999999956</v>
      </c>
      <c r="O470" s="115">
        <f t="shared" si="96"/>
        <v>2.4672992206031835E-2</v>
      </c>
      <c r="P470" s="103"/>
    </row>
    <row r="471" spans="2:20" x14ac:dyDescent="0.2">
      <c r="B471" s="54">
        <f>IF(D471&lt;&gt;"",COUNTA($D$452:D471),"")</f>
        <v>18</v>
      </c>
      <c r="C471" s="54"/>
      <c r="D471" s="54">
        <v>270</v>
      </c>
      <c r="E471" s="113">
        <f t="shared" si="88"/>
        <v>97200</v>
      </c>
      <c r="F471" s="114">
        <f t="shared" si="89"/>
        <v>11850.29</v>
      </c>
      <c r="G471" s="114">
        <f t="shared" si="90"/>
        <v>19891.009999999998</v>
      </c>
      <c r="H471" s="101">
        <f t="shared" si="91"/>
        <v>31741.3</v>
      </c>
      <c r="I471" s="101"/>
      <c r="J471" s="114">
        <f t="shared" si="92"/>
        <v>12636.64</v>
      </c>
      <c r="K471" s="114">
        <f t="shared" si="93"/>
        <v>19891.009999999998</v>
      </c>
      <c r="L471" s="101">
        <f t="shared" si="94"/>
        <v>32527.649999999998</v>
      </c>
      <c r="M471" s="101"/>
      <c r="N471" s="102">
        <f t="shared" si="95"/>
        <v>786.34999999999854</v>
      </c>
      <c r="O471" s="115">
        <f t="shared" si="96"/>
        <v>2.4773717522596699E-2</v>
      </c>
      <c r="P471" s="103"/>
    </row>
    <row r="472" spans="2:20" x14ac:dyDescent="0.2">
      <c r="B472" s="54">
        <f>IF(D472&lt;&gt;"",COUNTA($D$452:D472),"")</f>
        <v>19</v>
      </c>
      <c r="C472" s="54"/>
      <c r="D472" s="54">
        <v>480</v>
      </c>
      <c r="E472" s="113">
        <f t="shared" si="88"/>
        <v>172800</v>
      </c>
      <c r="F472" s="114">
        <f t="shared" si="89"/>
        <v>20779.41</v>
      </c>
      <c r="G472" s="114">
        <f t="shared" si="90"/>
        <v>35361.79</v>
      </c>
      <c r="H472" s="101">
        <f t="shared" si="91"/>
        <v>56141.2</v>
      </c>
      <c r="I472" s="101"/>
      <c r="J472" s="114">
        <f t="shared" si="92"/>
        <v>22177.360000000001</v>
      </c>
      <c r="K472" s="114">
        <f t="shared" si="93"/>
        <v>35361.79</v>
      </c>
      <c r="L472" s="101">
        <f t="shared" si="94"/>
        <v>57539.15</v>
      </c>
      <c r="M472" s="101"/>
      <c r="N472" s="102">
        <f t="shared" si="95"/>
        <v>1397.9500000000044</v>
      </c>
      <c r="O472" s="115">
        <f t="shared" si="96"/>
        <v>2.490060775330781E-2</v>
      </c>
      <c r="R472" s="46" t="s">
        <v>27</v>
      </c>
    </row>
    <row r="473" spans="2:20" x14ac:dyDescent="0.2">
      <c r="B473" s="54">
        <f>IF(D473&lt;&gt;"",COUNTA($D$452:D473),"")</f>
        <v>20</v>
      </c>
      <c r="C473" s="54" t="s">
        <v>47</v>
      </c>
      <c r="D473" s="54">
        <v>209</v>
      </c>
      <c r="E473" s="113">
        <f t="shared" si="88"/>
        <v>75240</v>
      </c>
      <c r="F473" s="114">
        <f t="shared" si="89"/>
        <v>9256.6</v>
      </c>
      <c r="G473" s="114">
        <f t="shared" si="90"/>
        <v>15397.11</v>
      </c>
      <c r="H473" s="101">
        <f t="shared" si="91"/>
        <v>24653.71</v>
      </c>
      <c r="I473" s="101"/>
      <c r="J473" s="114">
        <f t="shared" si="92"/>
        <v>9865.2900000000009</v>
      </c>
      <c r="K473" s="114">
        <f t="shared" si="93"/>
        <v>15397.11</v>
      </c>
      <c r="L473" s="101">
        <f t="shared" si="94"/>
        <v>25262.400000000001</v>
      </c>
      <c r="M473" s="101"/>
      <c r="N473" s="102">
        <f t="shared" si="95"/>
        <v>608.69000000000233</v>
      </c>
      <c r="O473" s="115">
        <f t="shared" si="96"/>
        <v>2.4689590329406905E-2</v>
      </c>
      <c r="T473" s="46" t="s">
        <v>27</v>
      </c>
    </row>
    <row r="474" spans="2:20" ht="15.75" x14ac:dyDescent="0.25">
      <c r="B474" s="54" t="str">
        <f>IF(D474&lt;&gt;"",COUNTA($D$452:D474),"")</f>
        <v/>
      </c>
      <c r="C474" s="54"/>
      <c r="D474" s="117"/>
      <c r="E474" s="117"/>
      <c r="F474" s="118"/>
      <c r="G474" s="119"/>
      <c r="H474" s="119"/>
      <c r="I474" s="120"/>
      <c r="J474" s="119"/>
      <c r="K474" s="119"/>
      <c r="L474" s="119"/>
      <c r="M474" s="120"/>
      <c r="N474" s="119"/>
      <c r="O474" s="121"/>
    </row>
    <row r="475" spans="2:20" ht="15.75" x14ac:dyDescent="0.25">
      <c r="B475" s="54">
        <f>IF(D475&lt;&gt;"",COUNTA($D$452:D475),"")</f>
        <v>21</v>
      </c>
      <c r="C475" s="54"/>
      <c r="D475" s="54" t="s">
        <v>90</v>
      </c>
      <c r="E475" s="98">
        <v>490</v>
      </c>
      <c r="F475" s="111"/>
      <c r="G475" s="110"/>
      <c r="H475" s="110"/>
      <c r="I475" s="110"/>
      <c r="J475" s="110"/>
      <c r="K475" s="110"/>
      <c r="L475" s="110"/>
      <c r="M475" s="110"/>
      <c r="N475"/>
      <c r="O475" s="116"/>
      <c r="P475" s="110"/>
      <c r="R475" s="46" t="s">
        <v>27</v>
      </c>
    </row>
    <row r="476" spans="2:20" x14ac:dyDescent="0.2">
      <c r="B476" s="54">
        <f>IF(D476&lt;&gt;"",COUNTA($D$452:D476),"")</f>
        <v>22</v>
      </c>
      <c r="C476" s="54"/>
      <c r="D476" s="54">
        <v>75</v>
      </c>
      <c r="E476" s="113">
        <f t="shared" ref="E476:E483" si="97">D476*$E$475</f>
        <v>36750</v>
      </c>
      <c r="F476" s="114">
        <f t="shared" ref="F476:F483" si="98">ROUND($H$488+$D476*SUM($H$489,$H$513)+$E476*SUM($H$490:$H$512,$H$514:$H$516),2)</f>
        <v>4237.67</v>
      </c>
      <c r="G476" s="114">
        <f t="shared" ref="G476:G483" si="99">ROUND($H$517*$E476,2)</f>
        <v>7520.52</v>
      </c>
      <c r="H476" s="101">
        <f t="shared" ref="H476:H483" si="100">SUM(F476:G476)</f>
        <v>11758.19</v>
      </c>
      <c r="I476" s="101"/>
      <c r="J476" s="114">
        <f t="shared" ref="J476:J483" si="101">ROUND($J$488+$D476*SUM($J$489,$J$513)+$E476*SUM($J$490:$J$512,$J$514:$J$516),2)</f>
        <v>4534.9799999999996</v>
      </c>
      <c r="K476" s="114">
        <f t="shared" ref="K476:K483" si="102">ROUND($J$517*$E476,2)</f>
        <v>7520.52</v>
      </c>
      <c r="L476" s="101">
        <f t="shared" ref="L476:L483" si="103">SUM(J476:K476)</f>
        <v>12055.5</v>
      </c>
      <c r="M476" s="101"/>
      <c r="N476" s="102">
        <f t="shared" ref="N476:N483" si="104">+L476-H476</f>
        <v>297.30999999999949</v>
      </c>
      <c r="O476" s="115">
        <f t="shared" ref="O476:O483" si="105">+N476/H476</f>
        <v>2.5285354293475396E-2</v>
      </c>
      <c r="P476" s="103"/>
    </row>
    <row r="477" spans="2:20" x14ac:dyDescent="0.2">
      <c r="B477" s="54">
        <f>IF(D477&lt;&gt;"",COUNTA($D$452:D477),"")</f>
        <v>23</v>
      </c>
      <c r="C477" s="54"/>
      <c r="D477" s="54">
        <v>110</v>
      </c>
      <c r="E477" s="113">
        <f t="shared" si="97"/>
        <v>53900</v>
      </c>
      <c r="F477" s="114">
        <f t="shared" si="98"/>
        <v>6042.58</v>
      </c>
      <c r="G477" s="114">
        <f t="shared" si="99"/>
        <v>11030.1</v>
      </c>
      <c r="H477" s="101">
        <f t="shared" si="100"/>
        <v>17072.68</v>
      </c>
      <c r="I477" s="101"/>
      <c r="J477" s="114">
        <f t="shared" si="101"/>
        <v>6478.63</v>
      </c>
      <c r="K477" s="114">
        <f t="shared" si="102"/>
        <v>11030.1</v>
      </c>
      <c r="L477" s="101">
        <f t="shared" si="103"/>
        <v>17508.73</v>
      </c>
      <c r="M477" s="101"/>
      <c r="N477" s="102">
        <f t="shared" si="104"/>
        <v>436.04999999999927</v>
      </c>
      <c r="O477" s="115">
        <f t="shared" si="105"/>
        <v>2.5540805544296458E-2</v>
      </c>
      <c r="P477" s="103"/>
      <c r="R477" s="46" t="s">
        <v>27</v>
      </c>
    </row>
    <row r="478" spans="2:20" x14ac:dyDescent="0.2">
      <c r="B478" s="54">
        <f>IF(D478&lt;&gt;"",COUNTA($D$452:D478),"")</f>
        <v>24</v>
      </c>
      <c r="C478" s="54"/>
      <c r="D478" s="54">
        <v>130</v>
      </c>
      <c r="E478" s="113">
        <f t="shared" si="97"/>
        <v>63700</v>
      </c>
      <c r="F478" s="114">
        <f t="shared" si="98"/>
        <v>7073.96</v>
      </c>
      <c r="G478" s="114">
        <f t="shared" si="99"/>
        <v>13035.57</v>
      </c>
      <c r="H478" s="101">
        <f t="shared" si="100"/>
        <v>20109.53</v>
      </c>
      <c r="I478" s="101"/>
      <c r="J478" s="114">
        <f t="shared" si="101"/>
        <v>7589.29</v>
      </c>
      <c r="K478" s="114">
        <f t="shared" si="102"/>
        <v>13035.57</v>
      </c>
      <c r="L478" s="101">
        <f t="shared" si="103"/>
        <v>20624.86</v>
      </c>
      <c r="M478" s="101"/>
      <c r="N478" s="102">
        <f t="shared" si="104"/>
        <v>515.33000000000175</v>
      </c>
      <c r="O478" s="115">
        <f t="shared" si="105"/>
        <v>2.5626158343830103E-2</v>
      </c>
      <c r="P478" s="103"/>
    </row>
    <row r="479" spans="2:20" x14ac:dyDescent="0.2">
      <c r="B479" s="54">
        <f>IF(D479&lt;&gt;"",COUNTA($D$452:D479),"")</f>
        <v>25</v>
      </c>
      <c r="C479" s="54"/>
      <c r="D479" s="54">
        <v>165</v>
      </c>
      <c r="E479" s="113">
        <f t="shared" si="97"/>
        <v>80850</v>
      </c>
      <c r="F479" s="114">
        <f t="shared" si="98"/>
        <v>8878.8700000000008</v>
      </c>
      <c r="G479" s="114">
        <f t="shared" si="99"/>
        <v>16545.14</v>
      </c>
      <c r="H479" s="101">
        <f t="shared" si="100"/>
        <v>25424.010000000002</v>
      </c>
      <c r="I479" s="101"/>
      <c r="J479" s="114">
        <f t="shared" si="101"/>
        <v>9532.9500000000007</v>
      </c>
      <c r="K479" s="114">
        <f t="shared" si="102"/>
        <v>16545.14</v>
      </c>
      <c r="L479" s="101">
        <f t="shared" si="103"/>
        <v>26078.09</v>
      </c>
      <c r="M479" s="101"/>
      <c r="N479" s="102">
        <f t="shared" si="104"/>
        <v>654.07999999999811</v>
      </c>
      <c r="O479" s="115">
        <f t="shared" si="105"/>
        <v>2.572686212757146E-2</v>
      </c>
      <c r="P479" s="103"/>
    </row>
    <row r="480" spans="2:20" x14ac:dyDescent="0.2">
      <c r="B480" s="54">
        <f>IF(D480&lt;&gt;"",COUNTA($D$452:D480),"")</f>
        <v>26</v>
      </c>
      <c r="C480" s="54"/>
      <c r="D480" s="54">
        <v>215</v>
      </c>
      <c r="E480" s="113">
        <f t="shared" si="97"/>
        <v>105350</v>
      </c>
      <c r="F480" s="114">
        <f t="shared" si="98"/>
        <v>11457.31</v>
      </c>
      <c r="G480" s="114">
        <f t="shared" si="99"/>
        <v>21558.82</v>
      </c>
      <c r="H480" s="101">
        <f t="shared" si="100"/>
        <v>33016.129999999997</v>
      </c>
      <c r="I480" s="101"/>
      <c r="J480" s="114">
        <f t="shared" si="101"/>
        <v>12309.6</v>
      </c>
      <c r="K480" s="114">
        <f t="shared" si="102"/>
        <v>21558.82</v>
      </c>
      <c r="L480" s="101">
        <f t="shared" si="103"/>
        <v>33868.42</v>
      </c>
      <c r="M480" s="101"/>
      <c r="N480" s="102">
        <f t="shared" si="104"/>
        <v>852.29000000000087</v>
      </c>
      <c r="O480" s="115">
        <f t="shared" si="105"/>
        <v>2.5814351954635537E-2</v>
      </c>
      <c r="P480" s="103"/>
    </row>
    <row r="481" spans="2:18" x14ac:dyDescent="0.2">
      <c r="B481" s="54">
        <f>IF(D481&lt;&gt;"",COUNTA($D$452:D481),"")</f>
        <v>27</v>
      </c>
      <c r="C481" s="54"/>
      <c r="D481" s="54">
        <v>290</v>
      </c>
      <c r="E481" s="113">
        <f t="shared" si="97"/>
        <v>142100</v>
      </c>
      <c r="F481" s="114">
        <f t="shared" si="98"/>
        <v>15324.98</v>
      </c>
      <c r="G481" s="114">
        <f t="shared" si="99"/>
        <v>29079.34</v>
      </c>
      <c r="H481" s="101">
        <f t="shared" si="100"/>
        <v>44404.32</v>
      </c>
      <c r="I481" s="101"/>
      <c r="J481" s="114">
        <f t="shared" si="101"/>
        <v>16474.57</v>
      </c>
      <c r="K481" s="114">
        <f t="shared" si="102"/>
        <v>29079.34</v>
      </c>
      <c r="L481" s="101">
        <f t="shared" si="103"/>
        <v>45553.91</v>
      </c>
      <c r="M481" s="101"/>
      <c r="N481" s="102">
        <f t="shared" si="104"/>
        <v>1149.5900000000038</v>
      </c>
      <c r="O481" s="115">
        <f t="shared" si="105"/>
        <v>2.5889147722564017E-2</v>
      </c>
      <c r="P481" s="103"/>
    </row>
    <row r="482" spans="2:18" x14ac:dyDescent="0.2">
      <c r="B482" s="54">
        <f>IF(D482&lt;&gt;"",COUNTA($D$452:D482),"")</f>
        <v>28</v>
      </c>
      <c r="C482" s="54"/>
      <c r="D482" s="54">
        <v>460</v>
      </c>
      <c r="E482" s="113">
        <f t="shared" si="97"/>
        <v>225400</v>
      </c>
      <c r="F482" s="114">
        <f t="shared" si="98"/>
        <v>24091.69</v>
      </c>
      <c r="G482" s="114">
        <f t="shared" si="99"/>
        <v>46125.86</v>
      </c>
      <c r="H482" s="101">
        <f t="shared" si="100"/>
        <v>70217.55</v>
      </c>
      <c r="I482" s="101"/>
      <c r="J482" s="114">
        <f t="shared" si="101"/>
        <v>25915.18</v>
      </c>
      <c r="K482" s="114">
        <f t="shared" si="102"/>
        <v>46125.86</v>
      </c>
      <c r="L482" s="101">
        <f t="shared" si="103"/>
        <v>72041.040000000008</v>
      </c>
      <c r="M482" s="101"/>
      <c r="N482" s="102">
        <f t="shared" si="104"/>
        <v>1823.4900000000052</v>
      </c>
      <c r="O482" s="115">
        <f t="shared" si="105"/>
        <v>2.5969148738456484E-2</v>
      </c>
    </row>
    <row r="483" spans="2:18" x14ac:dyDescent="0.2">
      <c r="B483" s="54">
        <f>IF(D483&lt;&gt;"",COUNTA($D$452:D483),"")</f>
        <v>29</v>
      </c>
      <c r="C483" s="54" t="s">
        <v>47</v>
      </c>
      <c r="D483" s="54">
        <v>207</v>
      </c>
      <c r="E483" s="113">
        <f t="shared" si="97"/>
        <v>101430</v>
      </c>
      <c r="F483" s="114">
        <f t="shared" si="98"/>
        <v>11044.76</v>
      </c>
      <c r="G483" s="114">
        <f t="shared" si="99"/>
        <v>20756.64</v>
      </c>
      <c r="H483" s="101">
        <f t="shared" si="100"/>
        <v>31801.4</v>
      </c>
      <c r="I483" s="101"/>
      <c r="J483" s="114">
        <f t="shared" si="101"/>
        <v>11865.33</v>
      </c>
      <c r="K483" s="114">
        <f t="shared" si="102"/>
        <v>20756.64</v>
      </c>
      <c r="L483" s="101">
        <f t="shared" si="103"/>
        <v>32621.97</v>
      </c>
      <c r="M483" s="101"/>
      <c r="N483" s="102">
        <f t="shared" si="104"/>
        <v>820.56999999999971</v>
      </c>
      <c r="O483" s="115">
        <f t="shared" si="105"/>
        <v>2.5802952071292448E-2</v>
      </c>
    </row>
    <row r="484" spans="2:18" ht="15.75" x14ac:dyDescent="0.25">
      <c r="B484" s="54" t="str">
        <f>IF(D484&lt;&gt;"",COUNTA($D$452:D484),"")</f>
        <v/>
      </c>
      <c r="C484" s="54"/>
      <c r="D484" s="122"/>
      <c r="E484" s="122"/>
      <c r="F484" s="119"/>
      <c r="G484" s="119"/>
      <c r="H484" s="119"/>
      <c r="I484" s="120"/>
      <c r="J484" s="119"/>
      <c r="K484" s="119"/>
      <c r="L484" s="119"/>
      <c r="M484" s="120"/>
      <c r="N484" s="119"/>
      <c r="O484" s="123"/>
    </row>
    <row r="485" spans="2:18" ht="15.75" x14ac:dyDescent="0.25">
      <c r="B485" s="54" t="str">
        <f>IF(D485&lt;&gt;"",COUNTA($D$452:D485),"")</f>
        <v/>
      </c>
      <c r="C485" s="54"/>
      <c r="D485"/>
      <c r="E485" s="113"/>
      <c r="F485" s="101"/>
      <c r="G485" s="101"/>
      <c r="H485" s="101"/>
      <c r="I485" s="102"/>
      <c r="J485" s="102"/>
      <c r="K485" s="102"/>
      <c r="L485" s="102"/>
      <c r="M485" s="102"/>
      <c r="N485" s="102"/>
      <c r="O485" s="124"/>
    </row>
    <row r="486" spans="2:18" x14ac:dyDescent="0.2">
      <c r="B486" s="54">
        <f>IF(D486&lt;&gt;"",COUNTA($D$452:D486),"")</f>
        <v>30</v>
      </c>
      <c r="C486" s="54"/>
      <c r="D486" s="71" t="s">
        <v>27</v>
      </c>
      <c r="E486" s="71"/>
      <c r="F486" s="102"/>
      <c r="G486" s="102" t="s">
        <v>27</v>
      </c>
      <c r="H486" s="89" t="str">
        <f>$G$28</f>
        <v>2026 In Effect</v>
      </c>
      <c r="J486" s="89" t="str">
        <f>$H$28</f>
        <v>2027 Proposed</v>
      </c>
      <c r="K486" s="102"/>
      <c r="L486" s="102"/>
      <c r="M486" s="102"/>
      <c r="N486" s="102"/>
      <c r="O486" s="102"/>
      <c r="R486" s="46" t="s">
        <v>27</v>
      </c>
    </row>
    <row r="487" spans="2:18" ht="17.25" x14ac:dyDescent="0.35">
      <c r="B487" s="54">
        <f>IF(D487&lt;&gt;"",COUNTA($D$452:D487),"")</f>
        <v>31</v>
      </c>
      <c r="C487" s="54"/>
      <c r="D487" s="104" t="s">
        <v>27</v>
      </c>
      <c r="E487" s="104"/>
      <c r="F487" s="102"/>
      <c r="G487" s="102"/>
      <c r="H487" s="105" t="s">
        <v>48</v>
      </c>
      <c r="I487" s="105"/>
      <c r="J487" s="105" t="s">
        <v>48</v>
      </c>
      <c r="K487" s="105" t="s">
        <v>46</v>
      </c>
      <c r="L487" s="102"/>
      <c r="M487" s="102"/>
      <c r="N487" s="102"/>
      <c r="O487" s="102"/>
    </row>
    <row r="488" spans="2:18" x14ac:dyDescent="0.2">
      <c r="B488" s="54">
        <f>IF(D488&lt;&gt;"",COUNTA($D$452:D488),"")</f>
        <v>32</v>
      </c>
      <c r="C488" s="54"/>
      <c r="D488" s="71" t="s">
        <v>49</v>
      </c>
      <c r="E488" s="71"/>
      <c r="F488" s="125"/>
      <c r="G488" s="102"/>
      <c r="H488" s="81">
        <v>370</v>
      </c>
      <c r="I488" s="81"/>
      <c r="J488" s="81">
        <v>370</v>
      </c>
      <c r="K488" s="81">
        <f t="shared" ref="K488:K517" si="106">+J488-H488</f>
        <v>0</v>
      </c>
      <c r="L488" s="102"/>
      <c r="M488" s="102"/>
      <c r="N488" s="126"/>
      <c r="O488" s="102"/>
    </row>
    <row r="489" spans="2:18" x14ac:dyDescent="0.2">
      <c r="B489" s="54">
        <f>IF(D489&lt;&gt;"",COUNTA($D$452:D489),"")</f>
        <v>33</v>
      </c>
      <c r="C489" s="54"/>
      <c r="D489" s="104" t="s">
        <v>91</v>
      </c>
      <c r="E489" s="71"/>
      <c r="F489" s="125"/>
      <c r="G489" s="102"/>
      <c r="H489" s="81">
        <v>3.72</v>
      </c>
      <c r="I489" s="81"/>
      <c r="J489" s="81">
        <v>3.72</v>
      </c>
      <c r="K489" s="81">
        <f t="shared" si="106"/>
        <v>0</v>
      </c>
      <c r="L489" s="102"/>
      <c r="M489" s="102"/>
      <c r="N489" s="126"/>
      <c r="O489" s="102"/>
    </row>
    <row r="490" spans="2:18" x14ac:dyDescent="0.2">
      <c r="B490" s="54">
        <f>IF(D490&lt;&gt;"",COUNTA($D$452:D490),"")</f>
        <v>34</v>
      </c>
      <c r="C490" s="54"/>
      <c r="D490" s="104" t="s">
        <v>50</v>
      </c>
      <c r="E490" s="71"/>
      <c r="F490" s="125"/>
      <c r="G490" s="102"/>
      <c r="H490" s="85">
        <v>1.5650000000000001E-2</v>
      </c>
      <c r="I490" s="85"/>
      <c r="J490" s="85">
        <v>1.5650000000000001E-2</v>
      </c>
      <c r="K490" s="85">
        <f t="shared" si="106"/>
        <v>0</v>
      </c>
      <c r="L490" s="102"/>
      <c r="M490" s="102"/>
      <c r="N490" s="126"/>
      <c r="O490" s="102"/>
      <c r="R490" s="46" t="s">
        <v>27</v>
      </c>
    </row>
    <row r="491" spans="2:18" x14ac:dyDescent="0.2">
      <c r="B491" s="54">
        <f>IF(D491&lt;&gt;"",COUNTA($D$452:D491),"")</f>
        <v>35</v>
      </c>
      <c r="C491" s="54"/>
      <c r="D491" s="71" t="s">
        <v>51</v>
      </c>
      <c r="E491" s="71"/>
      <c r="F491" s="125"/>
      <c r="G491" s="102"/>
      <c r="H491" s="85">
        <v>-1.0000000000000001E-5</v>
      </c>
      <c r="I491" s="85"/>
      <c r="J491" s="85">
        <v>-1.0000000000000001E-5</v>
      </c>
      <c r="K491" s="85">
        <f t="shared" si="106"/>
        <v>0</v>
      </c>
      <c r="L491" s="102"/>
      <c r="M491" s="102"/>
      <c r="N491" s="126"/>
      <c r="O491" s="102"/>
    </row>
    <row r="492" spans="2:18" x14ac:dyDescent="0.2">
      <c r="B492" s="54">
        <f>IF(D492&lt;&gt;"",COUNTA($D$452:D492),"")</f>
        <v>36</v>
      </c>
      <c r="C492" s="54"/>
      <c r="D492" s="71" t="s">
        <v>52</v>
      </c>
      <c r="E492" s="71"/>
      <c r="F492" s="125"/>
      <c r="G492" s="102"/>
      <c r="H492" s="85">
        <v>-2.5000000000000001E-4</v>
      </c>
      <c r="I492" s="85"/>
      <c r="J492" s="85">
        <v>-2.5000000000000001E-4</v>
      </c>
      <c r="K492" s="85">
        <f t="shared" si="106"/>
        <v>0</v>
      </c>
      <c r="L492" s="102"/>
      <c r="M492" s="102"/>
      <c r="N492" s="126"/>
      <c r="O492" s="102"/>
    </row>
    <row r="493" spans="2:18" x14ac:dyDescent="0.2">
      <c r="B493" s="54">
        <f>IF(D493&lt;&gt;"",COUNTA($D$452:D493),"")</f>
        <v>37</v>
      </c>
      <c r="C493" s="54"/>
      <c r="D493" s="88" t="s">
        <v>53</v>
      </c>
      <c r="E493" s="71"/>
      <c r="F493" s="125"/>
      <c r="G493" s="102"/>
      <c r="H493" s="85">
        <v>3.32E-3</v>
      </c>
      <c r="I493" s="85"/>
      <c r="J493" s="85">
        <v>3.32E-3</v>
      </c>
      <c r="K493" s="85">
        <f t="shared" si="106"/>
        <v>0</v>
      </c>
      <c r="L493" s="102"/>
      <c r="M493" s="102"/>
      <c r="N493" s="126"/>
      <c r="O493" s="102"/>
    </row>
    <row r="494" spans="2:18" x14ac:dyDescent="0.2">
      <c r="B494" s="54">
        <f>IF(D494&lt;&gt;"",COUNTA($D$452:D494),"")</f>
        <v>38</v>
      </c>
      <c r="C494" s="54"/>
      <c r="D494" s="71" t="s">
        <v>54</v>
      </c>
      <c r="E494" s="71"/>
      <c r="F494" s="125"/>
      <c r="G494" s="102"/>
      <c r="H494" s="85">
        <v>5.8799999999999998E-3</v>
      </c>
      <c r="I494" s="85"/>
      <c r="J494" s="85">
        <v>5.8799999999999998E-3</v>
      </c>
      <c r="K494" s="85">
        <f t="shared" si="106"/>
        <v>0</v>
      </c>
      <c r="L494" s="102"/>
      <c r="M494" s="102"/>
      <c r="N494" s="126"/>
      <c r="O494" s="102"/>
    </row>
    <row r="495" spans="2:18" x14ac:dyDescent="0.2">
      <c r="B495" s="54">
        <f>IF(D495&lt;&gt;"",COUNTA($D$452:D495),"")</f>
        <v>39</v>
      </c>
      <c r="C495" s="54"/>
      <c r="D495" s="71" t="s">
        <v>55</v>
      </c>
      <c r="E495" s="71"/>
      <c r="F495" s="125"/>
      <c r="G495" s="102"/>
      <c r="H495" s="85">
        <v>6.0999999999999997E-4</v>
      </c>
      <c r="I495" s="85"/>
      <c r="J495" s="85">
        <v>6.0999999999999997E-4</v>
      </c>
      <c r="K495" s="85">
        <f t="shared" si="106"/>
        <v>0</v>
      </c>
      <c r="L495" s="102"/>
      <c r="M495" s="102"/>
      <c r="N495" s="126"/>
      <c r="O495" s="102"/>
    </row>
    <row r="496" spans="2:18" x14ac:dyDescent="0.2">
      <c r="B496" s="54">
        <f>IF(D496&lt;&gt;"",COUNTA($D$452:D496),"")</f>
        <v>40</v>
      </c>
      <c r="C496" s="54"/>
      <c r="D496" s="71" t="s">
        <v>56</v>
      </c>
      <c r="E496" s="71"/>
      <c r="F496" s="125"/>
      <c r="G496" s="102"/>
      <c r="H496" s="85">
        <v>3.5500000000000002E-3</v>
      </c>
      <c r="I496" s="85"/>
      <c r="J496" s="85">
        <v>3.5500000000000002E-3</v>
      </c>
      <c r="K496" s="85">
        <f t="shared" si="106"/>
        <v>0</v>
      </c>
      <c r="L496" s="102"/>
      <c r="M496" s="102"/>
      <c r="N496" s="126"/>
      <c r="O496" s="102"/>
    </row>
    <row r="497" spans="2:15" x14ac:dyDescent="0.2">
      <c r="B497" s="54">
        <f>IF(D497&lt;&gt;"",COUNTA($D$452:D497),"")</f>
        <v>41</v>
      </c>
      <c r="C497" s="54"/>
      <c r="D497" s="71" t="s">
        <v>57</v>
      </c>
      <c r="E497" s="71"/>
      <c r="F497" s="125"/>
      <c r="G497" s="102"/>
      <c r="H497" s="85">
        <v>-3.6999999999999999E-4</v>
      </c>
      <c r="I497" s="85"/>
      <c r="J497" s="85">
        <v>-3.6999999999999999E-4</v>
      </c>
      <c r="K497" s="85">
        <f t="shared" si="106"/>
        <v>0</v>
      </c>
      <c r="L497" s="102"/>
      <c r="M497" s="102"/>
      <c r="N497" s="126"/>
      <c r="O497" s="102"/>
    </row>
    <row r="498" spans="2:15" x14ac:dyDescent="0.2">
      <c r="B498" s="54">
        <f>IF(D498&lt;&gt;"",COUNTA($D$452:D498),"")</f>
        <v>42</v>
      </c>
      <c r="C498" s="54"/>
      <c r="D498" s="71" t="s">
        <v>58</v>
      </c>
      <c r="E498" s="71"/>
      <c r="F498" s="125"/>
      <c r="G498" s="102"/>
      <c r="H498" s="85">
        <v>1.0000000000000001E-5</v>
      </c>
      <c r="I498" s="85"/>
      <c r="J498" s="85">
        <v>1.0000000000000001E-5</v>
      </c>
      <c r="K498" s="85">
        <f t="shared" si="106"/>
        <v>0</v>
      </c>
      <c r="L498" s="102"/>
      <c r="M498" s="102"/>
      <c r="N498" s="126"/>
      <c r="O498" s="102"/>
    </row>
    <row r="499" spans="2:15" x14ac:dyDescent="0.2">
      <c r="B499" s="54">
        <f>IF(D499&lt;&gt;"",COUNTA($D$452:D499),"")</f>
        <v>43</v>
      </c>
      <c r="C499" s="54"/>
      <c r="D499" s="71" t="s">
        <v>59</v>
      </c>
      <c r="E499" s="71"/>
      <c r="F499" s="125"/>
      <c r="G499" s="102"/>
      <c r="H499" s="85">
        <v>5.4599999999999996E-3</v>
      </c>
      <c r="I499" s="85"/>
      <c r="J499" s="85">
        <v>5.4599999999999996E-3</v>
      </c>
      <c r="K499" s="85">
        <f t="shared" si="106"/>
        <v>0</v>
      </c>
      <c r="L499" s="102"/>
      <c r="M499" s="102"/>
      <c r="N499" s="126"/>
      <c r="O499" s="102"/>
    </row>
    <row r="500" spans="2:15" x14ac:dyDescent="0.2">
      <c r="B500" s="54">
        <f>IF(D500&lt;&gt;"",COUNTA($D$452:D500),"")</f>
        <v>44</v>
      </c>
      <c r="C500" s="54"/>
      <c r="D500" s="71" t="s">
        <v>60</v>
      </c>
      <c r="E500" s="71"/>
      <c r="F500" s="125"/>
      <c r="G500" s="102"/>
      <c r="H500" s="85">
        <v>0</v>
      </c>
      <c r="I500" s="85"/>
      <c r="J500" s="85">
        <v>0</v>
      </c>
      <c r="K500" s="85">
        <f t="shared" si="106"/>
        <v>0</v>
      </c>
      <c r="L500" s="102"/>
      <c r="M500" s="102"/>
      <c r="N500" s="126"/>
      <c r="O500" s="102"/>
    </row>
    <row r="501" spans="2:15" x14ac:dyDescent="0.2">
      <c r="B501" s="54">
        <f>IF(D501&lt;&gt;"",COUNTA($D$452:D501),"")</f>
        <v>45</v>
      </c>
      <c r="C501" s="54"/>
      <c r="D501" s="71" t="s">
        <v>61</v>
      </c>
      <c r="E501" s="71"/>
      <c r="F501" s="125"/>
      <c r="G501" s="102"/>
      <c r="H501" s="85">
        <v>-4.0000000000000002E-4</v>
      </c>
      <c r="I501" s="85"/>
      <c r="J501" s="85">
        <v>-4.0000000000000002E-4</v>
      </c>
      <c r="K501" s="85">
        <f t="shared" si="106"/>
        <v>0</v>
      </c>
      <c r="L501" s="102"/>
      <c r="M501" s="102"/>
      <c r="N501" s="126"/>
      <c r="O501" s="102"/>
    </row>
    <row r="502" spans="2:15" ht="15.75" x14ac:dyDescent="0.25">
      <c r="B502" s="54">
        <f>IF(D502&lt;&gt;"",COUNTA($D$452:D502),"")</f>
        <v>46</v>
      </c>
      <c r="C502" s="54"/>
      <c r="D502" s="71" t="s">
        <v>62</v>
      </c>
      <c r="E502"/>
      <c r="F502" s="102"/>
      <c r="G502" s="102"/>
      <c r="H502" s="85">
        <v>1E-4</v>
      </c>
      <c r="I502" s="85"/>
      <c r="J502" s="85">
        <v>1E-4</v>
      </c>
      <c r="K502" s="85">
        <f t="shared" si="106"/>
        <v>0</v>
      </c>
      <c r="L502" s="102"/>
      <c r="M502" s="102"/>
      <c r="N502" s="126"/>
      <c r="O502" s="102"/>
    </row>
    <row r="503" spans="2:15" x14ac:dyDescent="0.2">
      <c r="B503" s="54">
        <f>IF(D503&lt;&gt;"",COUNTA($D$452:D503),"")</f>
        <v>47</v>
      </c>
      <c r="C503" s="54"/>
      <c r="D503" s="71" t="s">
        <v>63</v>
      </c>
      <c r="E503" s="71"/>
      <c r="F503" s="125"/>
      <c r="G503" s="102"/>
      <c r="H503" s="85">
        <v>-1.7000000000000001E-4</v>
      </c>
      <c r="I503" s="85"/>
      <c r="J503" s="85">
        <v>-1.7000000000000001E-4</v>
      </c>
      <c r="K503" s="85">
        <f t="shared" si="106"/>
        <v>0</v>
      </c>
      <c r="L503" s="102"/>
      <c r="M503" s="102"/>
      <c r="N503" s="126"/>
      <c r="O503" s="102"/>
    </row>
    <row r="504" spans="2:15" x14ac:dyDescent="0.2">
      <c r="B504" s="54">
        <f>IF(D504&lt;&gt;"",COUNTA($D$452:D504),"")</f>
        <v>48</v>
      </c>
      <c r="C504" s="54"/>
      <c r="D504" s="71" t="s">
        <v>64</v>
      </c>
      <c r="E504" s="71"/>
      <c r="F504" s="125"/>
      <c r="G504" s="102"/>
      <c r="H504" s="85">
        <v>6.2E-4</v>
      </c>
      <c r="I504" s="85"/>
      <c r="J504" s="85">
        <v>6.2E-4</v>
      </c>
      <c r="K504" s="85">
        <f t="shared" si="106"/>
        <v>0</v>
      </c>
      <c r="L504" s="102"/>
      <c r="M504" s="102"/>
      <c r="N504" s="126"/>
      <c r="O504" s="102"/>
    </row>
    <row r="505" spans="2:15" x14ac:dyDescent="0.2">
      <c r="B505" s="54">
        <f>IF(D505&lt;&gt;"",COUNTA($D$452:D505),"")</f>
        <v>49</v>
      </c>
      <c r="C505" s="54"/>
      <c r="D505" s="71" t="s">
        <v>65</v>
      </c>
      <c r="E505" s="71"/>
      <c r="F505" s="125"/>
      <c r="G505" s="102"/>
      <c r="H505" s="85">
        <v>-5.1999999999999995E-4</v>
      </c>
      <c r="I505" s="85"/>
      <c r="J505" s="85">
        <v>-5.1999999999999995E-4</v>
      </c>
      <c r="K505" s="85">
        <f t="shared" si="106"/>
        <v>0</v>
      </c>
      <c r="L505" s="102"/>
      <c r="M505" s="102"/>
      <c r="N505" s="126"/>
      <c r="O505" s="102"/>
    </row>
    <row r="506" spans="2:15" x14ac:dyDescent="0.2">
      <c r="B506" s="54">
        <f>IF(D506&lt;&gt;"",COUNTA($D$452:D506),"")</f>
        <v>50</v>
      </c>
      <c r="C506" s="54"/>
      <c r="D506" s="71" t="s">
        <v>66</v>
      </c>
      <c r="E506" s="71"/>
      <c r="F506" s="125"/>
      <c r="G506" s="102"/>
      <c r="H506" s="85">
        <v>1.56E-3</v>
      </c>
      <c r="I506" s="85"/>
      <c r="J506" s="85">
        <v>1.56E-3</v>
      </c>
      <c r="K506" s="85">
        <f t="shared" si="106"/>
        <v>0</v>
      </c>
      <c r="L506" s="102"/>
      <c r="M506" s="102"/>
      <c r="N506" s="126"/>
      <c r="O506" s="102"/>
    </row>
    <row r="507" spans="2:15" x14ac:dyDescent="0.2">
      <c r="B507" s="54">
        <f>IF(D507&lt;&gt;"",COUNTA($D$452:D507),"")</f>
        <v>51</v>
      </c>
      <c r="C507" s="54"/>
      <c r="D507" s="71" t="s">
        <v>67</v>
      </c>
      <c r="E507" s="71"/>
      <c r="F507" s="125"/>
      <c r="G507" s="102"/>
      <c r="H507" s="85">
        <v>4.8900000000000002E-3</v>
      </c>
      <c r="I507" s="85"/>
      <c r="J507" s="85">
        <v>4.8900000000000002E-3</v>
      </c>
      <c r="K507" s="85">
        <f t="shared" si="106"/>
        <v>0</v>
      </c>
      <c r="L507" s="102"/>
      <c r="M507" s="102"/>
      <c r="N507" s="126"/>
      <c r="O507" s="102"/>
    </row>
    <row r="508" spans="2:15" x14ac:dyDescent="0.2">
      <c r="B508" s="54">
        <f>IF(D508&lt;&gt;"",COUNTA($D$452:D508),"")</f>
        <v>52</v>
      </c>
      <c r="C508" s="54"/>
      <c r="D508" s="71" t="s">
        <v>68</v>
      </c>
      <c r="E508" s="71"/>
      <c r="F508" s="125"/>
      <c r="G508" s="102"/>
      <c r="H508" s="85">
        <v>0</v>
      </c>
      <c r="I508" s="85"/>
      <c r="J508" s="85">
        <v>0</v>
      </c>
      <c r="K508" s="85">
        <f>+J508-H508</f>
        <v>0</v>
      </c>
      <c r="L508" s="102"/>
      <c r="M508" s="102"/>
      <c r="N508" s="126"/>
      <c r="O508" s="102"/>
    </row>
    <row r="509" spans="2:15" x14ac:dyDescent="0.2">
      <c r="B509" s="54">
        <f>IF(D509&lt;&gt;"",COUNTA($D$452:D509),"")</f>
        <v>53</v>
      </c>
      <c r="C509" s="54"/>
      <c r="D509" s="71" t="s">
        <v>69</v>
      </c>
      <c r="E509" s="71"/>
      <c r="F509" s="125"/>
      <c r="G509" s="102"/>
      <c r="H509" s="85">
        <v>4.0000000000000003E-5</v>
      </c>
      <c r="I509" s="85"/>
      <c r="J509" s="85">
        <v>4.0000000000000003E-5</v>
      </c>
      <c r="K509" s="85">
        <f>+J509-H509</f>
        <v>0</v>
      </c>
      <c r="L509" s="102"/>
      <c r="M509" s="102"/>
      <c r="N509" s="126"/>
      <c r="O509" s="102"/>
    </row>
    <row r="510" spans="2:15" x14ac:dyDescent="0.2">
      <c r="B510" s="54">
        <f>IF(D510&lt;&gt;"",COUNTA($D$452:D510),"")</f>
        <v>54</v>
      </c>
      <c r="C510" s="54"/>
      <c r="D510" s="71" t="s">
        <v>70</v>
      </c>
      <c r="E510" s="71"/>
      <c r="F510" s="125"/>
      <c r="G510" s="102"/>
      <c r="H510" s="85">
        <v>1.0000000000000001E-5</v>
      </c>
      <c r="I510" s="85"/>
      <c r="J510" s="85">
        <v>1.0000000000000001E-5</v>
      </c>
      <c r="K510" s="85">
        <f>+J510-H510</f>
        <v>0</v>
      </c>
      <c r="L510" s="102"/>
      <c r="M510" s="102"/>
      <c r="N510" s="126"/>
      <c r="O510" s="102"/>
    </row>
    <row r="511" spans="2:15" x14ac:dyDescent="0.2">
      <c r="B511" s="54">
        <f>IF(D511&lt;&gt;"",COUNTA($D$452:D511),"")</f>
        <v>55</v>
      </c>
      <c r="C511" s="54"/>
      <c r="D511" s="71" t="s">
        <v>71</v>
      </c>
      <c r="E511" s="71"/>
      <c r="F511" s="125"/>
      <c r="G511" s="102"/>
      <c r="H511" s="85">
        <v>5.8E-4</v>
      </c>
      <c r="I511" s="85"/>
      <c r="J511" s="85">
        <v>5.8E-4</v>
      </c>
      <c r="K511" s="85">
        <f>+J511-H511</f>
        <v>0</v>
      </c>
      <c r="L511" s="102"/>
      <c r="M511" s="102"/>
      <c r="N511" s="126"/>
      <c r="O511" s="102"/>
    </row>
    <row r="512" spans="2:15" x14ac:dyDescent="0.2">
      <c r="B512" s="54">
        <f>IF(D512&lt;&gt;"",COUNTA($D$452:D512),"")</f>
        <v>56</v>
      </c>
      <c r="C512" s="54"/>
      <c r="D512" s="71" t="s">
        <v>72</v>
      </c>
      <c r="E512" s="71"/>
      <c r="F512" s="125"/>
      <c r="G512" s="102"/>
      <c r="H512" s="85">
        <v>-7.6999999999999996E-4</v>
      </c>
      <c r="I512" s="85"/>
      <c r="J512" s="85">
        <v>-7.6999999999999996E-4</v>
      </c>
      <c r="K512" s="85">
        <f t="shared" si="106"/>
        <v>0</v>
      </c>
      <c r="L512" s="102"/>
      <c r="M512" s="102"/>
      <c r="N512" s="126"/>
      <c r="O512" s="102"/>
    </row>
    <row r="513" spans="2:15" x14ac:dyDescent="0.2">
      <c r="B513" s="54">
        <f>IF(D513&lt;&gt;"",COUNTA($D$452:D513),"")</f>
        <v>57</v>
      </c>
      <c r="C513" s="54"/>
      <c r="D513" s="71" t="s">
        <v>92</v>
      </c>
      <c r="E513" s="71"/>
      <c r="F513" s="125"/>
      <c r="G513" s="102"/>
      <c r="H513" s="81">
        <v>13.74</v>
      </c>
      <c r="I513" s="81"/>
      <c r="J513" s="81">
        <v>13.74</v>
      </c>
      <c r="K513" s="81">
        <f t="shared" si="106"/>
        <v>0</v>
      </c>
      <c r="L513" s="102"/>
      <c r="M513" s="102"/>
      <c r="N513" s="126"/>
      <c r="O513" s="102"/>
    </row>
    <row r="514" spans="2:15" x14ac:dyDescent="0.2">
      <c r="B514" s="54">
        <f>IF(D514&lt;&gt;"",COUNTA($D$452:D514),"")</f>
        <v>58</v>
      </c>
      <c r="C514" s="54"/>
      <c r="D514" s="71" t="s">
        <v>74</v>
      </c>
      <c r="E514" s="71"/>
      <c r="F514" s="125"/>
      <c r="G514" s="102"/>
      <c r="H514" s="85">
        <v>2.682E-2</v>
      </c>
      <c r="I514" s="85"/>
      <c r="J514" s="85">
        <v>3.4909999999999997E-2</v>
      </c>
      <c r="K514" s="85">
        <f t="shared" si="106"/>
        <v>8.0899999999999965E-3</v>
      </c>
      <c r="L514" s="102"/>
      <c r="N514" s="127"/>
      <c r="O514" s="102"/>
    </row>
    <row r="515" spans="2:15" x14ac:dyDescent="0.2">
      <c r="B515" s="54">
        <f>IF(D515&lt;&gt;"",COUNTA($D$452:D515),"")</f>
        <v>59</v>
      </c>
      <c r="C515" s="54"/>
      <c r="D515" s="71" t="s">
        <v>75</v>
      </c>
      <c r="E515" s="71"/>
      <c r="F515" s="125"/>
      <c r="G515" s="102"/>
      <c r="H515" s="85">
        <v>2.5000000000000001E-3</v>
      </c>
      <c r="I515" s="85"/>
      <c r="J515" s="85">
        <v>2.5000000000000001E-3</v>
      </c>
      <c r="K515" s="85">
        <f t="shared" si="106"/>
        <v>0</v>
      </c>
      <c r="L515" s="102"/>
      <c r="M515" s="102"/>
      <c r="N515" s="126"/>
      <c r="O515" s="102"/>
    </row>
    <row r="516" spans="2:15" x14ac:dyDescent="0.2">
      <c r="B516" s="54">
        <f>IF(D516&lt;&gt;"",COUNTA($D$452:D516),"")</f>
        <v>60</v>
      </c>
      <c r="C516" s="54"/>
      <c r="D516" s="71" t="s">
        <v>76</v>
      </c>
      <c r="E516" s="71"/>
      <c r="F516" s="125"/>
      <c r="G516" s="102"/>
      <c r="H516" s="85">
        <v>5.0000000000000001E-4</v>
      </c>
      <c r="I516" s="85"/>
      <c r="J516" s="85">
        <v>5.0000000000000001E-4</v>
      </c>
      <c r="K516" s="85">
        <f t="shared" si="106"/>
        <v>0</v>
      </c>
      <c r="L516" s="102"/>
      <c r="M516" s="102"/>
      <c r="N516" s="126"/>
      <c r="O516" s="102"/>
    </row>
    <row r="517" spans="2:15" x14ac:dyDescent="0.2">
      <c r="B517" s="54">
        <f>IF(D517&lt;&gt;"",COUNTA($D$452:D517),"")</f>
        <v>61</v>
      </c>
      <c r="C517" s="54"/>
      <c r="D517" s="71" t="str">
        <f>D442</f>
        <v>Supply Charge</v>
      </c>
      <c r="E517" s="71"/>
      <c r="F517" s="125"/>
      <c r="G517" s="102"/>
      <c r="H517" s="85">
        <v>0.20463999999999999</v>
      </c>
      <c r="I517" s="85"/>
      <c r="J517" s="85">
        <v>0.20463999999999999</v>
      </c>
      <c r="K517" s="85">
        <f t="shared" si="106"/>
        <v>0</v>
      </c>
      <c r="L517" s="102"/>
      <c r="M517" s="102"/>
      <c r="N517" s="126"/>
      <c r="O517" s="102"/>
    </row>
    <row r="520" spans="2:15" ht="15.75" x14ac:dyDescent="0.25">
      <c r="B520" s="92" t="str">
        <f>$B$3</f>
        <v>Cape Light Compact JPE</v>
      </c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</row>
    <row r="521" spans="2:15" ht="15.75" x14ac:dyDescent="0.25">
      <c r="B521" s="92" t="str">
        <f>$B$4</f>
        <v>Calculation of Monthly Typical Bill</v>
      </c>
      <c r="C521" s="92"/>
      <c r="D521" s="92"/>
      <c r="E521" s="92"/>
      <c r="F521" s="92"/>
      <c r="G521" s="92"/>
      <c r="H521" s="92"/>
      <c r="I521" s="92"/>
      <c r="J521" s="92"/>
      <c r="K521" s="92"/>
      <c r="L521" s="92"/>
      <c r="M521" s="92"/>
      <c r="N521" s="92"/>
      <c r="O521" s="92"/>
    </row>
    <row r="522" spans="2:15" ht="15.75" x14ac:dyDescent="0.25">
      <c r="B522" s="92" t="str">
        <f>$B$5</f>
        <v>Proposed January 1, 2027</v>
      </c>
      <c r="C522" s="92"/>
      <c r="D522" s="92"/>
      <c r="E522" s="92"/>
      <c r="F522" s="92"/>
      <c r="G522" s="92"/>
      <c r="H522" s="92"/>
      <c r="I522" s="92"/>
      <c r="J522" s="92"/>
      <c r="K522" s="92"/>
      <c r="L522" s="92"/>
      <c r="M522" s="92"/>
      <c r="N522" s="92"/>
      <c r="O522" s="92"/>
    </row>
    <row r="523" spans="2:15" ht="15.75" x14ac:dyDescent="0.25">
      <c r="B523" s="107"/>
      <c r="C523" s="107"/>
      <c r="D523" s="71"/>
      <c r="E523" s="71"/>
      <c r="F523" s="95"/>
      <c r="G523" s="96"/>
      <c r="H523" s="97"/>
      <c r="I523" s="71"/>
      <c r="J523" s="71"/>
      <c r="K523" s="71"/>
      <c r="L523" s="71"/>
      <c r="M523" s="71"/>
      <c r="N523" s="71"/>
      <c r="O523" s="71"/>
    </row>
    <row r="524" spans="2:15" ht="15.75" x14ac:dyDescent="0.25">
      <c r="B524" s="108" t="s">
        <v>30</v>
      </c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</row>
    <row r="525" spans="2:15" ht="15.75" x14ac:dyDescent="0.25">
      <c r="B525" s="98"/>
      <c r="C525" s="98"/>
      <c r="D525" s="109"/>
      <c r="E525" s="71"/>
      <c r="F525" s="71"/>
      <c r="G525" s="71"/>
      <c r="H525" s="128"/>
      <c r="I525" s="71"/>
      <c r="J525"/>
      <c r="K525"/>
      <c r="L525"/>
      <c r="M525"/>
      <c r="N525"/>
      <c r="O525"/>
    </row>
    <row r="526" spans="2:15" ht="15.75" x14ac:dyDescent="0.25">
      <c r="B526" s="98"/>
      <c r="C526" s="98"/>
      <c r="D526" s="71"/>
      <c r="E526" s="71"/>
      <c r="F526" s="71"/>
      <c r="G526" s="71"/>
      <c r="H526" s="99"/>
      <c r="I526" s="71"/>
      <c r="J526"/>
      <c r="K526"/>
      <c r="L526"/>
      <c r="M526"/>
      <c r="N526"/>
      <c r="O526"/>
    </row>
    <row r="527" spans="2:15" ht="15.75" x14ac:dyDescent="0.25">
      <c r="B527" s="54">
        <f>IF(D527&lt;&gt;"",COUNTA($D$527:D527),"")</f>
        <v>1</v>
      </c>
      <c r="C527" s="54"/>
      <c r="D527" s="98" t="s">
        <v>40</v>
      </c>
      <c r="E527" s="98" t="s">
        <v>40</v>
      </c>
      <c r="F527" s="56" t="str">
        <f>$F$10</f>
        <v>2026 In Effect</v>
      </c>
      <c r="G527" s="56"/>
      <c r="H527" s="56"/>
      <c r="I527" s="51"/>
      <c r="J527" s="56" t="str">
        <f>$J$10</f>
        <v>2027 Proposed</v>
      </c>
      <c r="K527" s="57"/>
      <c r="L527" s="57"/>
      <c r="M527"/>
      <c r="N527" s="57" t="str">
        <f>$N$10</f>
        <v>Total Bill Impact</v>
      </c>
      <c r="O527" s="57"/>
    </row>
    <row r="528" spans="2:15" ht="15.75" x14ac:dyDescent="0.25">
      <c r="B528" s="54">
        <f>IF(D528&lt;&gt;"",COUNTA($D$527:D528),"")</f>
        <v>2</v>
      </c>
      <c r="C528" s="54"/>
      <c r="D528" s="110" t="s">
        <v>89</v>
      </c>
      <c r="E528" s="110" t="s">
        <v>42</v>
      </c>
      <c r="F528" s="110" t="s">
        <v>43</v>
      </c>
      <c r="G528" s="110" t="s">
        <v>44</v>
      </c>
      <c r="H528" s="110" t="s">
        <v>45</v>
      </c>
      <c r="I528" s="71"/>
      <c r="J528" s="110" t="s">
        <v>43</v>
      </c>
      <c r="K528" s="110" t="s">
        <v>44</v>
      </c>
      <c r="L528" s="110" t="s">
        <v>45</v>
      </c>
      <c r="M528"/>
      <c r="N528" s="110" t="s">
        <v>46</v>
      </c>
      <c r="O528" s="110" t="s">
        <v>10</v>
      </c>
    </row>
    <row r="529" spans="2:20" ht="15.75" x14ac:dyDescent="0.25">
      <c r="B529" s="54" t="str">
        <f>IF(D529&lt;&gt;"",COUNTA($D$527:D529),"")</f>
        <v/>
      </c>
      <c r="C529" s="54"/>
      <c r="D529" s="110"/>
      <c r="E529" s="110"/>
      <c r="F529" s="110"/>
      <c r="G529" s="110"/>
      <c r="H529" s="110"/>
      <c r="I529" s="71"/>
      <c r="J529" s="110"/>
      <c r="K529" s="110"/>
      <c r="L529" s="110"/>
      <c r="M529"/>
      <c r="N529" s="110"/>
      <c r="O529" s="110"/>
    </row>
    <row r="530" spans="2:20" ht="15.75" x14ac:dyDescent="0.25">
      <c r="B530" s="54">
        <f>IF(D530&lt;&gt;"",COUNTA($D$527:D530),"")</f>
        <v>3</v>
      </c>
      <c r="C530" s="54"/>
      <c r="D530" s="98" t="s">
        <v>90</v>
      </c>
      <c r="E530" s="98">
        <v>250</v>
      </c>
      <c r="F530" s="110"/>
      <c r="G530" s="110"/>
      <c r="H530" s="110"/>
      <c r="I530" s="71"/>
      <c r="J530" s="110"/>
      <c r="K530" s="110"/>
      <c r="L530" s="110"/>
      <c r="M530"/>
      <c r="N530" s="110"/>
      <c r="O530" s="110"/>
    </row>
    <row r="531" spans="2:20" x14ac:dyDescent="0.2">
      <c r="B531" s="54">
        <f>IF(D531&lt;&gt;"",COUNTA($D$527:D531),"")</f>
        <v>4</v>
      </c>
      <c r="C531" s="54"/>
      <c r="D531" s="113">
        <v>90</v>
      </c>
      <c r="E531" s="100">
        <v>22500</v>
      </c>
      <c r="F531" s="114">
        <f t="shared" ref="F531:F536" si="107">ROUND($H$557+$D531*SUM($H$558,$H$582)+$E531*SUM($H$559:$H$581,$H$583:$H$585),2)</f>
        <v>3788.63</v>
      </c>
      <c r="G531" s="114">
        <f t="shared" ref="G531:G536" si="108">ROUND($H$586*$E531,2)</f>
        <v>4604.3999999999996</v>
      </c>
      <c r="H531" s="101">
        <f t="shared" ref="H531:H536" si="109">SUM(F531:G531)</f>
        <v>8393.0299999999988</v>
      </c>
      <c r="I531" s="102"/>
      <c r="J531" s="114">
        <f t="shared" ref="J531:J536" si="110">ROUND($J$557+$D531*SUM($J$558,$J$582)+$E531*SUM($J$559:$J$581,$J$583:$J$585),2)</f>
        <v>3970.65</v>
      </c>
      <c r="K531" s="114">
        <f t="shared" ref="K531:K536" si="111">ROUND($J$586*$E531,2)</f>
        <v>4604.3999999999996</v>
      </c>
      <c r="L531" s="101">
        <f t="shared" ref="L531:L536" si="112">SUM(J531:K531)</f>
        <v>8575.0499999999993</v>
      </c>
      <c r="M531" s="102"/>
      <c r="N531" s="101">
        <f t="shared" ref="N531:N536" si="113">+L531-H531</f>
        <v>182.02000000000044</v>
      </c>
      <c r="O531" s="103">
        <f t="shared" ref="O531:O536" si="114">+N531/H531</f>
        <v>2.1687042700907832E-2</v>
      </c>
    </row>
    <row r="532" spans="2:20" x14ac:dyDescent="0.2">
      <c r="B532" s="54">
        <f>IF(D532&lt;&gt;"",COUNTA($D$527:D532),"")</f>
        <v>5</v>
      </c>
      <c r="C532" s="54"/>
      <c r="D532" s="113">
        <v>350</v>
      </c>
      <c r="E532" s="100">
        <v>87500</v>
      </c>
      <c r="F532" s="114">
        <f t="shared" si="107"/>
        <v>12046.88</v>
      </c>
      <c r="G532" s="114">
        <f t="shared" si="108"/>
        <v>17906</v>
      </c>
      <c r="H532" s="101">
        <f t="shared" si="109"/>
        <v>29952.879999999997</v>
      </c>
      <c r="I532" s="102"/>
      <c r="J532" s="114">
        <f t="shared" si="110"/>
        <v>12754.75</v>
      </c>
      <c r="K532" s="114">
        <f t="shared" si="111"/>
        <v>17906</v>
      </c>
      <c r="L532" s="101">
        <f t="shared" si="112"/>
        <v>30660.75</v>
      </c>
      <c r="M532" s="102"/>
      <c r="N532" s="101">
        <f t="shared" si="113"/>
        <v>707.87000000000262</v>
      </c>
      <c r="O532" s="103">
        <f t="shared" si="114"/>
        <v>2.3632785895713625E-2</v>
      </c>
    </row>
    <row r="533" spans="2:20" x14ac:dyDescent="0.2">
      <c r="B533" s="54">
        <f>IF(D533&lt;&gt;"",COUNTA($D$527:D533),"")</f>
        <v>6</v>
      </c>
      <c r="C533" s="54"/>
      <c r="D533" s="113">
        <v>600</v>
      </c>
      <c r="E533" s="100">
        <v>150000</v>
      </c>
      <c r="F533" s="114">
        <f t="shared" si="107"/>
        <v>19987.5</v>
      </c>
      <c r="G533" s="114">
        <f t="shared" si="108"/>
        <v>30696</v>
      </c>
      <c r="H533" s="101">
        <f t="shared" si="109"/>
        <v>50683.5</v>
      </c>
      <c r="I533" s="102"/>
      <c r="J533" s="114">
        <f t="shared" si="110"/>
        <v>21201</v>
      </c>
      <c r="K533" s="114">
        <f t="shared" si="111"/>
        <v>30696</v>
      </c>
      <c r="L533" s="101">
        <f t="shared" si="112"/>
        <v>51897</v>
      </c>
      <c r="M533" s="102"/>
      <c r="N533" s="101">
        <f t="shared" si="113"/>
        <v>1213.5</v>
      </c>
      <c r="O533" s="103">
        <f t="shared" si="114"/>
        <v>2.3942703246618721E-2</v>
      </c>
    </row>
    <row r="534" spans="2:20" x14ac:dyDescent="0.2">
      <c r="B534" s="54">
        <f>IF(D534&lt;&gt;"",COUNTA($D$527:D534),"")</f>
        <v>7</v>
      </c>
      <c r="C534" s="54"/>
      <c r="D534" s="113">
        <v>1000</v>
      </c>
      <c r="E534" s="100">
        <v>250000</v>
      </c>
      <c r="F534" s="114">
        <f t="shared" si="107"/>
        <v>32692.5</v>
      </c>
      <c r="G534" s="114">
        <f t="shared" si="108"/>
        <v>51160</v>
      </c>
      <c r="H534" s="101">
        <f t="shared" si="109"/>
        <v>83852.5</v>
      </c>
      <c r="I534" s="102"/>
      <c r="J534" s="114">
        <f t="shared" si="110"/>
        <v>34715</v>
      </c>
      <c r="K534" s="114">
        <f t="shared" si="111"/>
        <v>51160</v>
      </c>
      <c r="L534" s="101">
        <f t="shared" si="112"/>
        <v>85875</v>
      </c>
      <c r="M534" s="102"/>
      <c r="N534" s="101">
        <f t="shared" si="113"/>
        <v>2022.5</v>
      </c>
      <c r="O534" s="103">
        <f t="shared" si="114"/>
        <v>2.4119734056825975E-2</v>
      </c>
    </row>
    <row r="535" spans="2:20" x14ac:dyDescent="0.2">
      <c r="B535" s="54">
        <f>IF(D535&lt;&gt;"",COUNTA($D$527:D535),"")</f>
        <v>8</v>
      </c>
      <c r="C535" s="54"/>
      <c r="D535" s="100">
        <v>2500</v>
      </c>
      <c r="E535" s="100">
        <v>625000</v>
      </c>
      <c r="F535" s="114">
        <f t="shared" si="107"/>
        <v>80336.25</v>
      </c>
      <c r="G535" s="114">
        <f t="shared" si="108"/>
        <v>127900</v>
      </c>
      <c r="H535" s="101">
        <f t="shared" si="109"/>
        <v>208236.25</v>
      </c>
      <c r="I535" s="102"/>
      <c r="J535" s="114">
        <f t="shared" si="110"/>
        <v>85392.5</v>
      </c>
      <c r="K535" s="114">
        <f t="shared" si="111"/>
        <v>127900</v>
      </c>
      <c r="L535" s="101">
        <f t="shared" si="112"/>
        <v>213292.5</v>
      </c>
      <c r="M535" s="102"/>
      <c r="N535" s="101">
        <f t="shared" si="113"/>
        <v>5056.25</v>
      </c>
      <c r="O535" s="103">
        <f t="shared" si="114"/>
        <v>2.428131509283326E-2</v>
      </c>
      <c r="Q535" s="46" t="s">
        <v>27</v>
      </c>
    </row>
    <row r="536" spans="2:20" x14ac:dyDescent="0.2">
      <c r="B536" s="54">
        <f>IF(D536&lt;&gt;"",COUNTA($D$527:D536),"")</f>
        <v>9</v>
      </c>
      <c r="C536" s="54" t="s">
        <v>47</v>
      </c>
      <c r="D536" s="100">
        <v>920</v>
      </c>
      <c r="E536" s="100">
        <v>230000</v>
      </c>
      <c r="F536" s="114">
        <f t="shared" si="107"/>
        <v>30151.5</v>
      </c>
      <c r="G536" s="114">
        <f t="shared" si="108"/>
        <v>47067.199999999997</v>
      </c>
      <c r="H536" s="101">
        <f t="shared" si="109"/>
        <v>77218.7</v>
      </c>
      <c r="I536" s="102"/>
      <c r="J536" s="114">
        <f t="shared" si="110"/>
        <v>32012.2</v>
      </c>
      <c r="K536" s="114">
        <f t="shared" si="111"/>
        <v>47067.199999999997</v>
      </c>
      <c r="L536" s="101">
        <f t="shared" si="112"/>
        <v>79079.399999999994</v>
      </c>
      <c r="M536" s="102"/>
      <c r="N536" s="101">
        <f t="shared" si="113"/>
        <v>1860.6999999999971</v>
      </c>
      <c r="O536" s="103">
        <f t="shared" si="114"/>
        <v>2.4096494760984025E-2</v>
      </c>
    </row>
    <row r="537" spans="2:20" ht="15.75" x14ac:dyDescent="0.25">
      <c r="B537" s="54" t="str">
        <f>IF(D537&lt;&gt;"",COUNTA($D$527:D537),"")</f>
        <v/>
      </c>
      <c r="C537" s="54"/>
      <c r="D537" s="117"/>
      <c r="E537" s="117"/>
      <c r="F537" s="119"/>
      <c r="G537" s="119"/>
      <c r="H537" s="119"/>
      <c r="I537" s="120"/>
      <c r="J537" s="119"/>
      <c r="K537" s="119"/>
      <c r="L537" s="119"/>
      <c r="M537" s="120"/>
      <c r="N537" s="119"/>
      <c r="O537" s="123"/>
    </row>
    <row r="538" spans="2:20" x14ac:dyDescent="0.2">
      <c r="B538" s="54">
        <f>IF(D538&lt;&gt;"",COUNTA($D$527:D538),"")</f>
        <v>10</v>
      </c>
      <c r="C538" s="54"/>
      <c r="D538" s="98" t="s">
        <v>90</v>
      </c>
      <c r="E538" s="98">
        <v>400</v>
      </c>
      <c r="F538" s="102"/>
      <c r="G538" s="102"/>
      <c r="H538" s="102"/>
      <c r="I538" s="102"/>
      <c r="J538" s="102"/>
      <c r="K538" s="102"/>
      <c r="L538" s="102"/>
      <c r="M538" s="102"/>
      <c r="N538" s="102"/>
      <c r="O538" s="71"/>
    </row>
    <row r="539" spans="2:20" x14ac:dyDescent="0.2">
      <c r="B539" s="54">
        <f>IF(D539&lt;&gt;"",COUNTA($D$527:D539),"")</f>
        <v>11</v>
      </c>
      <c r="C539" s="54"/>
      <c r="D539" s="100">
        <v>220</v>
      </c>
      <c r="E539" s="100">
        <v>88000</v>
      </c>
      <c r="F539" s="114">
        <f t="shared" ref="F539:F544" si="115">ROUND($H$557+$D539*SUM($H$558,$H$582)+$E539*SUM($H$559:$H$581,$H$583:$H$585),2)</f>
        <v>9722.52</v>
      </c>
      <c r="G539" s="114">
        <f t="shared" ref="G539:G544" si="116">ROUND($H$586*$E539,2)</f>
        <v>18008.32</v>
      </c>
      <c r="H539" s="101">
        <f t="shared" ref="H539:H544" si="117">SUM(F539:G539)</f>
        <v>27730.84</v>
      </c>
      <c r="I539" s="102"/>
      <c r="J539" s="114">
        <f t="shared" ref="J539:J544" si="118">ROUND($J$557+$D539*SUM($J$558,$J$582)+$E539*SUM($J$559:$J$581,$J$583:$J$585),2)</f>
        <v>10434.44</v>
      </c>
      <c r="K539" s="114">
        <f t="shared" ref="K539:K544" si="119">ROUND($J$586*$E539,2)</f>
        <v>18008.32</v>
      </c>
      <c r="L539" s="101">
        <f t="shared" ref="L539:L544" si="120">SUM(J539:K539)</f>
        <v>28442.760000000002</v>
      </c>
      <c r="M539" s="102"/>
      <c r="N539" s="101">
        <f t="shared" ref="N539:N544" si="121">+L539-H539</f>
        <v>711.92000000000189</v>
      </c>
      <c r="O539" s="103">
        <f t="shared" ref="O539:O544" si="122">+N539/H539</f>
        <v>2.5672500364215506E-2</v>
      </c>
    </row>
    <row r="540" spans="2:20" x14ac:dyDescent="0.2">
      <c r="B540" s="54">
        <f>IF(D540&lt;&gt;"",COUNTA($D$527:D540),"")</f>
        <v>12</v>
      </c>
      <c r="C540" s="54"/>
      <c r="D540" s="100">
        <v>430</v>
      </c>
      <c r="E540" s="100">
        <v>172000</v>
      </c>
      <c r="F540" s="114">
        <f t="shared" si="115"/>
        <v>18115.38</v>
      </c>
      <c r="G540" s="114">
        <f t="shared" si="116"/>
        <v>35198.080000000002</v>
      </c>
      <c r="H540" s="101">
        <f t="shared" si="117"/>
        <v>53313.460000000006</v>
      </c>
      <c r="I540" s="102"/>
      <c r="J540" s="114">
        <f t="shared" si="118"/>
        <v>19506.86</v>
      </c>
      <c r="K540" s="114">
        <f t="shared" si="119"/>
        <v>35198.080000000002</v>
      </c>
      <c r="L540" s="101">
        <f t="shared" si="120"/>
        <v>54704.94</v>
      </c>
      <c r="M540" s="102"/>
      <c r="N540" s="101">
        <f t="shared" si="121"/>
        <v>1391.4799999999959</v>
      </c>
      <c r="O540" s="103">
        <f t="shared" si="122"/>
        <v>2.6099975503371866E-2</v>
      </c>
    </row>
    <row r="541" spans="2:20" x14ac:dyDescent="0.2">
      <c r="B541" s="54">
        <f>IF(D541&lt;&gt;"",COUNTA($D$527:D541),"")</f>
        <v>13</v>
      </c>
      <c r="C541" s="54"/>
      <c r="D541" s="100">
        <v>630</v>
      </c>
      <c r="E541" s="100">
        <v>252000</v>
      </c>
      <c r="F541" s="114">
        <f t="shared" si="115"/>
        <v>26108.58</v>
      </c>
      <c r="G541" s="114">
        <f t="shared" si="116"/>
        <v>51569.279999999999</v>
      </c>
      <c r="H541" s="101">
        <f t="shared" si="117"/>
        <v>77677.86</v>
      </c>
      <c r="I541" s="102"/>
      <c r="J541" s="114">
        <f t="shared" si="118"/>
        <v>28147.26</v>
      </c>
      <c r="K541" s="114">
        <f t="shared" si="119"/>
        <v>51569.279999999999</v>
      </c>
      <c r="L541" s="101">
        <f t="shared" si="120"/>
        <v>79716.539999999994</v>
      </c>
      <c r="M541" s="102"/>
      <c r="N541" s="101">
        <f t="shared" si="121"/>
        <v>2038.679999999993</v>
      </c>
      <c r="O541" s="103">
        <f t="shared" si="122"/>
        <v>2.6245316232965134E-2</v>
      </c>
    </row>
    <row r="542" spans="2:20" x14ac:dyDescent="0.2">
      <c r="B542" s="54">
        <f>IF(D542&lt;&gt;"",COUNTA($D$527:D542),"")</f>
        <v>14</v>
      </c>
      <c r="C542" s="54"/>
      <c r="D542" s="100">
        <v>900</v>
      </c>
      <c r="E542" s="100">
        <v>360000</v>
      </c>
      <c r="F542" s="114">
        <f t="shared" si="115"/>
        <v>36899.4</v>
      </c>
      <c r="G542" s="114">
        <f t="shared" si="116"/>
        <v>73670.399999999994</v>
      </c>
      <c r="H542" s="101">
        <f t="shared" si="117"/>
        <v>110569.79999999999</v>
      </c>
      <c r="I542" s="102"/>
      <c r="J542" s="114">
        <f t="shared" si="118"/>
        <v>39811.800000000003</v>
      </c>
      <c r="K542" s="114">
        <f t="shared" si="119"/>
        <v>73670.399999999994</v>
      </c>
      <c r="L542" s="101">
        <f t="shared" si="120"/>
        <v>113482.2</v>
      </c>
      <c r="M542" s="102"/>
      <c r="N542" s="101">
        <f t="shared" si="121"/>
        <v>2912.4000000000087</v>
      </c>
      <c r="O542" s="103">
        <f t="shared" si="122"/>
        <v>2.6339922836072862E-2</v>
      </c>
    </row>
    <row r="543" spans="2:20" x14ac:dyDescent="0.2">
      <c r="B543" s="54">
        <f>IF(D543&lt;&gt;"",COUNTA($D$527:D543),"")</f>
        <v>15</v>
      </c>
      <c r="C543" s="54"/>
      <c r="D543" s="100">
        <v>2500</v>
      </c>
      <c r="E543" s="100">
        <v>1000000</v>
      </c>
      <c r="F543" s="114">
        <f t="shared" si="115"/>
        <v>100845</v>
      </c>
      <c r="G543" s="114">
        <f t="shared" si="116"/>
        <v>204640</v>
      </c>
      <c r="H543" s="101">
        <f t="shared" si="117"/>
        <v>305485</v>
      </c>
      <c r="I543" s="102"/>
      <c r="J543" s="114">
        <f t="shared" si="118"/>
        <v>108935</v>
      </c>
      <c r="K543" s="114">
        <f t="shared" si="119"/>
        <v>204640</v>
      </c>
      <c r="L543" s="101">
        <f t="shared" si="120"/>
        <v>313575</v>
      </c>
      <c r="M543" s="102"/>
      <c r="N543" s="101">
        <f t="shared" si="121"/>
        <v>8090</v>
      </c>
      <c r="O543" s="103">
        <f t="shared" si="122"/>
        <v>2.6482478681440987E-2</v>
      </c>
      <c r="T543" s="46" t="s">
        <v>27</v>
      </c>
    </row>
    <row r="544" spans="2:20" x14ac:dyDescent="0.2">
      <c r="B544" s="54">
        <f>IF(D544&lt;&gt;"",COUNTA($D$527:D544),"")</f>
        <v>16</v>
      </c>
      <c r="C544" s="54" t="s">
        <v>47</v>
      </c>
      <c r="D544" s="100">
        <v>933</v>
      </c>
      <c r="E544" s="100">
        <v>373200</v>
      </c>
      <c r="F544" s="114">
        <f t="shared" si="115"/>
        <v>38218.28</v>
      </c>
      <c r="G544" s="114">
        <f t="shared" si="116"/>
        <v>76371.649999999994</v>
      </c>
      <c r="H544" s="101">
        <f t="shared" si="117"/>
        <v>114589.93</v>
      </c>
      <c r="I544" s="102"/>
      <c r="J544" s="114">
        <f t="shared" si="118"/>
        <v>41237.47</v>
      </c>
      <c r="K544" s="114">
        <f t="shared" si="119"/>
        <v>76371.649999999994</v>
      </c>
      <c r="L544" s="101">
        <f t="shared" si="120"/>
        <v>117609.12</v>
      </c>
      <c r="M544" s="102"/>
      <c r="N544" s="101">
        <f t="shared" si="121"/>
        <v>3019.1900000000023</v>
      </c>
      <c r="O544" s="103">
        <f t="shared" si="122"/>
        <v>2.6347777679941009E-2</v>
      </c>
    </row>
    <row r="545" spans="2:15" ht="15.75" x14ac:dyDescent="0.25">
      <c r="B545" s="54" t="str">
        <f>IF(D545&lt;&gt;"",COUNTA($D$527:D545),"")</f>
        <v/>
      </c>
      <c r="C545" s="54"/>
      <c r="D545" s="117"/>
      <c r="E545" s="117"/>
      <c r="F545" s="119"/>
      <c r="G545" s="119"/>
      <c r="H545" s="119"/>
      <c r="I545" s="120"/>
      <c r="J545" s="119"/>
      <c r="K545" s="119"/>
      <c r="L545" s="119"/>
      <c r="M545" s="120"/>
      <c r="N545" s="119"/>
      <c r="O545" s="123"/>
    </row>
    <row r="546" spans="2:15" x14ac:dyDescent="0.2">
      <c r="B546" s="54">
        <f>IF(D546&lt;&gt;"",COUNTA($D$527:D546),"")</f>
        <v>17</v>
      </c>
      <c r="C546" s="54"/>
      <c r="D546" s="98" t="s">
        <v>90</v>
      </c>
      <c r="E546" s="98">
        <v>535</v>
      </c>
      <c r="F546" s="102"/>
      <c r="G546" s="102"/>
      <c r="H546" s="102"/>
      <c r="I546" s="102"/>
      <c r="J546" s="102"/>
      <c r="K546" s="102"/>
      <c r="L546" s="102"/>
      <c r="M546" s="102"/>
      <c r="N546" s="102"/>
      <c r="O546" s="71"/>
    </row>
    <row r="547" spans="2:15" x14ac:dyDescent="0.2">
      <c r="B547" s="54">
        <f>IF(D547&lt;&gt;"",COUNTA($D$527:D547),"")</f>
        <v>18</v>
      </c>
      <c r="C547" s="54"/>
      <c r="D547" s="100">
        <v>165</v>
      </c>
      <c r="E547" s="100">
        <v>88275</v>
      </c>
      <c r="F547" s="114">
        <f t="shared" ref="F547:F552" si="123">ROUND($H$557+$D547*SUM($H$558,$H$582)+$E547*SUM($H$559:$H$581,$H$583:$H$585),2)</f>
        <v>8742.61</v>
      </c>
      <c r="G547" s="114">
        <f t="shared" ref="G547:G552" si="124">ROUND($H$586*$E547,2)</f>
        <v>18064.599999999999</v>
      </c>
      <c r="H547" s="101">
        <f t="shared" ref="H547:H552" si="125">SUM(F547:G547)</f>
        <v>26807.21</v>
      </c>
      <c r="I547" s="102"/>
      <c r="J547" s="114">
        <f t="shared" ref="J547:J552" si="126">ROUND($J$557+$D547*SUM($J$558,$J$582)+$E547*SUM($J$559:$J$581,$J$583:$J$585),2)</f>
        <v>9456.75</v>
      </c>
      <c r="K547" s="114">
        <f t="shared" ref="K547:K552" si="127">ROUND($J$586*$E547,2)</f>
        <v>18064.599999999999</v>
      </c>
      <c r="L547" s="101">
        <f t="shared" ref="L547:L552" si="128">SUM(J547:K547)</f>
        <v>27521.35</v>
      </c>
      <c r="M547" s="102"/>
      <c r="N547" s="101">
        <f t="shared" ref="N547:N552" si="129">+L547-H547</f>
        <v>714.13999999999942</v>
      </c>
      <c r="O547" s="103">
        <f t="shared" ref="O547:O552" si="130">+N547/H547</f>
        <v>2.6639848011038799E-2</v>
      </c>
    </row>
    <row r="548" spans="2:15" x14ac:dyDescent="0.2">
      <c r="B548" s="54">
        <f>IF(D548&lt;&gt;"",COUNTA($D$527:D548),"")</f>
        <v>19</v>
      </c>
      <c r="C548" s="54"/>
      <c r="D548" s="100">
        <v>380</v>
      </c>
      <c r="E548" s="100">
        <v>203300</v>
      </c>
      <c r="F548" s="114">
        <f t="shared" si="123"/>
        <v>18922.68</v>
      </c>
      <c r="G548" s="114">
        <f t="shared" si="124"/>
        <v>41603.31</v>
      </c>
      <c r="H548" s="101">
        <f t="shared" si="125"/>
        <v>60525.99</v>
      </c>
      <c r="I548" s="102"/>
      <c r="J548" s="114">
        <f t="shared" si="126"/>
        <v>20567.37</v>
      </c>
      <c r="K548" s="114">
        <f t="shared" si="127"/>
        <v>41603.31</v>
      </c>
      <c r="L548" s="101">
        <f t="shared" si="128"/>
        <v>62170.679999999993</v>
      </c>
      <c r="M548" s="102"/>
      <c r="N548" s="101">
        <f t="shared" si="129"/>
        <v>1644.6899999999951</v>
      </c>
      <c r="O548" s="103">
        <f t="shared" si="130"/>
        <v>2.7173285393596952E-2</v>
      </c>
    </row>
    <row r="549" spans="2:15" x14ac:dyDescent="0.2">
      <c r="B549" s="54">
        <f>IF(D549&lt;&gt;"",COUNTA($D$527:D549),"")</f>
        <v>20</v>
      </c>
      <c r="C549" s="54"/>
      <c r="D549" s="100">
        <v>570</v>
      </c>
      <c r="E549" s="100">
        <v>304950</v>
      </c>
      <c r="F549" s="114">
        <f t="shared" si="123"/>
        <v>27919.02</v>
      </c>
      <c r="G549" s="114">
        <f t="shared" si="124"/>
        <v>62404.97</v>
      </c>
      <c r="H549" s="101">
        <f t="shared" si="125"/>
        <v>90323.99</v>
      </c>
      <c r="I549" s="102"/>
      <c r="J549" s="114">
        <f t="shared" si="126"/>
        <v>30386.06</v>
      </c>
      <c r="K549" s="114">
        <f t="shared" si="127"/>
        <v>62404.97</v>
      </c>
      <c r="L549" s="101">
        <f t="shared" si="128"/>
        <v>92791.03</v>
      </c>
      <c r="M549" s="102"/>
      <c r="N549" s="101">
        <f t="shared" si="129"/>
        <v>2467.0399999999936</v>
      </c>
      <c r="O549" s="103">
        <f t="shared" si="130"/>
        <v>2.7313230958906858E-2</v>
      </c>
    </row>
    <row r="550" spans="2:15" x14ac:dyDescent="0.2">
      <c r="B550" s="54">
        <f>IF(D550&lt;&gt;"",COUNTA($D$527:D550),"")</f>
        <v>21</v>
      </c>
      <c r="C550" s="54"/>
      <c r="D550" s="100">
        <v>1100</v>
      </c>
      <c r="E550" s="100">
        <v>588500</v>
      </c>
      <c r="F550" s="114">
        <f t="shared" si="123"/>
        <v>53014.07</v>
      </c>
      <c r="G550" s="114">
        <f t="shared" si="124"/>
        <v>120430.64</v>
      </c>
      <c r="H550" s="101">
        <f t="shared" si="125"/>
        <v>173444.71</v>
      </c>
      <c r="I550" s="102"/>
      <c r="J550" s="114">
        <f t="shared" si="126"/>
        <v>57775.03</v>
      </c>
      <c r="K550" s="114">
        <f t="shared" si="127"/>
        <v>120430.64</v>
      </c>
      <c r="L550" s="101">
        <f t="shared" si="128"/>
        <v>178205.66999999998</v>
      </c>
      <c r="M550" s="102"/>
      <c r="N550" s="101">
        <f t="shared" si="129"/>
        <v>4760.9599999999919</v>
      </c>
      <c r="O550" s="103">
        <f t="shared" si="130"/>
        <v>2.7449439074849803E-2</v>
      </c>
    </row>
    <row r="551" spans="2:15" x14ac:dyDescent="0.2">
      <c r="B551" s="54">
        <f>IF(D551&lt;&gt;"",COUNTA($D$527:D551),"")</f>
        <v>22</v>
      </c>
      <c r="C551" s="54"/>
      <c r="D551" s="100">
        <v>2500</v>
      </c>
      <c r="E551" s="100">
        <v>1337500</v>
      </c>
      <c r="F551" s="114">
        <f t="shared" si="123"/>
        <v>119302.88</v>
      </c>
      <c r="G551" s="114">
        <f t="shared" si="124"/>
        <v>273706</v>
      </c>
      <c r="H551" s="101">
        <f t="shared" si="125"/>
        <v>393008.88</v>
      </c>
      <c r="I551" s="102"/>
      <c r="J551" s="114">
        <f t="shared" si="126"/>
        <v>130123.25</v>
      </c>
      <c r="K551" s="114">
        <f t="shared" si="127"/>
        <v>273706</v>
      </c>
      <c r="L551" s="101">
        <f t="shared" si="128"/>
        <v>403829.25</v>
      </c>
      <c r="M551" s="102"/>
      <c r="N551" s="101">
        <f t="shared" si="129"/>
        <v>10820.369999999995</v>
      </c>
      <c r="O551" s="103">
        <f t="shared" si="130"/>
        <v>2.7532125991656969E-2</v>
      </c>
    </row>
    <row r="552" spans="2:15" x14ac:dyDescent="0.2">
      <c r="B552" s="54">
        <f>IF(D552&lt;&gt;"",COUNTA($D$527:D552),"")</f>
        <v>23</v>
      </c>
      <c r="C552" s="54" t="s">
        <v>47</v>
      </c>
      <c r="D552" s="100">
        <v>930</v>
      </c>
      <c r="E552" s="100">
        <v>497550</v>
      </c>
      <c r="F552" s="114">
        <f t="shared" si="123"/>
        <v>44964.71</v>
      </c>
      <c r="G552" s="114">
        <f t="shared" si="124"/>
        <v>101818.63</v>
      </c>
      <c r="H552" s="101">
        <f t="shared" si="125"/>
        <v>146783.34</v>
      </c>
      <c r="I552" s="102"/>
      <c r="J552" s="114">
        <f t="shared" si="126"/>
        <v>48989.89</v>
      </c>
      <c r="K552" s="114">
        <f t="shared" si="127"/>
        <v>101818.63</v>
      </c>
      <c r="L552" s="101">
        <f t="shared" si="128"/>
        <v>150808.52000000002</v>
      </c>
      <c r="M552" s="102"/>
      <c r="N552" s="101">
        <f t="shared" si="129"/>
        <v>4025.1800000000221</v>
      </c>
      <c r="O552" s="103">
        <f t="shared" si="130"/>
        <v>2.7422594417050479E-2</v>
      </c>
    </row>
    <row r="553" spans="2:15" ht="15.75" x14ac:dyDescent="0.25">
      <c r="B553" s="54" t="str">
        <f>IF(D553&lt;&gt;"",COUNTA($D$527:D553),"")</f>
        <v/>
      </c>
      <c r="C553" s="54"/>
      <c r="D553" s="122"/>
      <c r="E553" s="122"/>
      <c r="F553" s="119"/>
      <c r="G553" s="119"/>
      <c r="H553" s="119"/>
      <c r="I553" s="120"/>
      <c r="J553" s="119"/>
      <c r="K553" s="119"/>
      <c r="L553" s="119"/>
      <c r="M553" s="120"/>
      <c r="N553" s="119"/>
      <c r="O553" s="123"/>
    </row>
    <row r="554" spans="2:15" ht="15.75" x14ac:dyDescent="0.25">
      <c r="B554" s="54" t="str">
        <f>IF(D554&lt;&gt;"",COUNTA($D$527:D554),"")</f>
        <v/>
      </c>
      <c r="C554" s="54"/>
      <c r="D554" s="122"/>
      <c r="E554" s="122"/>
      <c r="F554" s="119"/>
      <c r="G554" s="119"/>
      <c r="H554" s="129"/>
      <c r="I554" s="130"/>
      <c r="J554" s="119"/>
      <c r="K554" s="119"/>
      <c r="L554" s="119"/>
      <c r="M554" s="131"/>
      <c r="N554" s="129"/>
      <c r="O554" s="123"/>
    </row>
    <row r="555" spans="2:15" ht="15.75" x14ac:dyDescent="0.25">
      <c r="B555" s="54">
        <f>IF(D555&lt;&gt;"",COUNTA($D$527:D555),"")</f>
        <v>24</v>
      </c>
      <c r="C555" s="54"/>
      <c r="D555" s="71" t="s">
        <v>27</v>
      </c>
      <c r="E555" s="71"/>
      <c r="F555" s="71"/>
      <c r="G555"/>
      <c r="H555" s="89" t="str">
        <f>$G$28</f>
        <v>2026 In Effect</v>
      </c>
      <c r="J555" s="89" t="str">
        <f>$H$28</f>
        <v>2027 Proposed</v>
      </c>
      <c r="K555" s="102"/>
      <c r="L555" s="71"/>
      <c r="M555"/>
      <c r="N555"/>
      <c r="O555"/>
    </row>
    <row r="556" spans="2:15" ht="17.25" x14ac:dyDescent="0.35">
      <c r="B556" s="54">
        <f>IF(D556&lt;&gt;"",COUNTA($D$527:D556),"")</f>
        <v>25</v>
      </c>
      <c r="C556" s="54"/>
      <c r="D556" s="104" t="s">
        <v>27</v>
      </c>
      <c r="E556" s="104"/>
      <c r="F556" s="71"/>
      <c r="G556"/>
      <c r="H556" s="105" t="s">
        <v>48</v>
      </c>
      <c r="I556" s="105"/>
      <c r="J556" s="105" t="s">
        <v>48</v>
      </c>
      <c r="K556" s="105" t="s">
        <v>46</v>
      </c>
      <c r="L556" s="71"/>
      <c r="M556"/>
      <c r="N556"/>
      <c r="O556"/>
    </row>
    <row r="557" spans="2:15" ht="15.75" x14ac:dyDescent="0.25">
      <c r="B557" s="54">
        <f>IF(D557&lt;&gt;"",COUNTA($D$527:D557),"")</f>
        <v>26</v>
      </c>
      <c r="C557" s="54"/>
      <c r="D557" s="71" t="str">
        <f t="shared" ref="D557:D578" si="131">D488</f>
        <v>Customer Charge</v>
      </c>
      <c r="E557" s="71"/>
      <c r="F557" s="104"/>
      <c r="G557"/>
      <c r="H557" s="81">
        <v>930</v>
      </c>
      <c r="I557" s="81"/>
      <c r="J557" s="81">
        <v>930</v>
      </c>
      <c r="K557" s="81">
        <f t="shared" ref="K557:K586" si="132">+J557-H557</f>
        <v>0</v>
      </c>
      <c r="L557" s="71"/>
      <c r="M557"/>
      <c r="N557"/>
      <c r="O557"/>
    </row>
    <row r="558" spans="2:15" ht="15.75" x14ac:dyDescent="0.25">
      <c r="B558" s="54">
        <f>IF(D558&lt;&gt;"",COUNTA($D$527:D558),"")</f>
        <v>27</v>
      </c>
      <c r="C558" s="54"/>
      <c r="D558" s="71" t="str">
        <f t="shared" si="131"/>
        <v>Distribution Demand</v>
      </c>
      <c r="E558" s="71"/>
      <c r="F558" s="104"/>
      <c r="G558"/>
      <c r="H558" s="81">
        <v>4.01</v>
      </c>
      <c r="I558" s="132"/>
      <c r="J558" s="81">
        <v>4.01</v>
      </c>
      <c r="K558" s="81">
        <f t="shared" si="132"/>
        <v>0</v>
      </c>
      <c r="L558" s="71"/>
      <c r="M558"/>
      <c r="N558"/>
      <c r="O558"/>
    </row>
    <row r="559" spans="2:15" ht="15.75" x14ac:dyDescent="0.25">
      <c r="B559" s="54">
        <f>IF(D559&lt;&gt;"",COUNTA($D$527:D559),"")</f>
        <v>28</v>
      </c>
      <c r="C559" s="54"/>
      <c r="D559" s="71" t="str">
        <f t="shared" si="131"/>
        <v>Distribution Energy</v>
      </c>
      <c r="E559" s="71"/>
      <c r="F559" s="104"/>
      <c r="G559"/>
      <c r="H559" s="85">
        <v>1.034E-2</v>
      </c>
      <c r="I559" s="85"/>
      <c r="J559" s="85">
        <v>1.034E-2</v>
      </c>
      <c r="K559" s="85">
        <f t="shared" si="132"/>
        <v>0</v>
      </c>
      <c r="L559" s="71"/>
      <c r="M559"/>
      <c r="N559"/>
      <c r="O559"/>
    </row>
    <row r="560" spans="2:15" ht="15.75" x14ac:dyDescent="0.25">
      <c r="B560" s="54">
        <f>IF(D560&lt;&gt;"",COUNTA($D$527:D560),"")</f>
        <v>29</v>
      </c>
      <c r="C560" s="54"/>
      <c r="D560" s="71" t="str">
        <f t="shared" si="131"/>
        <v>Exogenous Cost Adjustment</v>
      </c>
      <c r="E560" s="71"/>
      <c r="F560" s="104"/>
      <c r="G560"/>
      <c r="H560" s="85">
        <v>0</v>
      </c>
      <c r="I560" s="85"/>
      <c r="J560" s="85">
        <v>0</v>
      </c>
      <c r="K560" s="85">
        <f t="shared" si="132"/>
        <v>0</v>
      </c>
      <c r="L560" s="71"/>
      <c r="M560"/>
      <c r="N560"/>
      <c r="O560"/>
    </row>
    <row r="561" spans="2:15" ht="15.75" x14ac:dyDescent="0.25">
      <c r="B561" s="54">
        <f>IF(D561&lt;&gt;"",COUNTA($D$527:D561),"")</f>
        <v>30</v>
      </c>
      <c r="C561" s="54"/>
      <c r="D561" s="71" t="str">
        <f t="shared" si="131"/>
        <v>Revenue Decoupling</v>
      </c>
      <c r="E561" s="71"/>
      <c r="F561" s="104"/>
      <c r="G561"/>
      <c r="H561" s="85">
        <v>-1.4999999999999999E-4</v>
      </c>
      <c r="I561" s="85"/>
      <c r="J561" s="85">
        <v>-1.4999999999999999E-4</v>
      </c>
      <c r="K561" s="85">
        <f t="shared" si="132"/>
        <v>0</v>
      </c>
      <c r="L561" s="71"/>
      <c r="M561"/>
      <c r="N561"/>
      <c r="O561"/>
    </row>
    <row r="562" spans="2:15" ht="15.75" x14ac:dyDescent="0.25">
      <c r="B562" s="54">
        <f>IF(D562&lt;&gt;"",COUNTA($D$527:D562),"")</f>
        <v>31</v>
      </c>
      <c r="C562" s="54"/>
      <c r="D562" s="71" t="str">
        <f t="shared" si="131"/>
        <v>Distributed Solar Charge</v>
      </c>
      <c r="E562" s="71"/>
      <c r="F562" s="104"/>
      <c r="G562"/>
      <c r="H562" s="85">
        <v>2.0400000000000001E-3</v>
      </c>
      <c r="I562" s="85"/>
      <c r="J562" s="85">
        <v>2.0400000000000001E-3</v>
      </c>
      <c r="K562" s="85">
        <f t="shared" si="132"/>
        <v>0</v>
      </c>
      <c r="L562" s="71"/>
      <c r="M562"/>
      <c r="N562" t="s">
        <v>27</v>
      </c>
      <c r="O562"/>
    </row>
    <row r="563" spans="2:15" ht="15.75" x14ac:dyDescent="0.25">
      <c r="B563" s="54">
        <f>IF(D563&lt;&gt;"",COUNTA($D$527:D563),"")</f>
        <v>32</v>
      </c>
      <c r="C563" s="54"/>
      <c r="D563" s="71" t="str">
        <f t="shared" si="131"/>
        <v>Residential Assistance Adjustment Factor</v>
      </c>
      <c r="E563" s="71"/>
      <c r="F563" s="104"/>
      <c r="G563"/>
      <c r="H563" s="85">
        <v>3.62E-3</v>
      </c>
      <c r="I563" s="85"/>
      <c r="J563" s="85">
        <v>3.62E-3</v>
      </c>
      <c r="K563" s="85">
        <f t="shared" si="132"/>
        <v>0</v>
      </c>
      <c r="L563" s="71"/>
      <c r="M563"/>
      <c r="N563"/>
      <c r="O563"/>
    </row>
    <row r="564" spans="2:15" ht="15.75" x14ac:dyDescent="0.25">
      <c r="B564" s="54">
        <f>IF(D564&lt;&gt;"",COUNTA($D$527:D564),"")</f>
        <v>33</v>
      </c>
      <c r="C564" s="54"/>
      <c r="D564" s="71" t="str">
        <f t="shared" si="131"/>
        <v>Pension Adjustment Factor</v>
      </c>
      <c r="E564" s="71"/>
      <c r="F564" s="104"/>
      <c r="G564"/>
      <c r="H564" s="85">
        <v>4.4999999999999999E-4</v>
      </c>
      <c r="I564" s="85"/>
      <c r="J564" s="85">
        <v>4.4999999999999999E-4</v>
      </c>
      <c r="K564" s="85">
        <f t="shared" si="132"/>
        <v>0</v>
      </c>
      <c r="L564" s="71"/>
      <c r="M564"/>
      <c r="N564"/>
      <c r="O564"/>
    </row>
    <row r="565" spans="2:15" ht="15.75" x14ac:dyDescent="0.25">
      <c r="B565" s="54">
        <f>IF(D565&lt;&gt;"",COUNTA($D$527:D565),"")</f>
        <v>34</v>
      </c>
      <c r="C565" s="54"/>
      <c r="D565" s="71" t="str">
        <f t="shared" si="131"/>
        <v>Net Metering Recovery Surcharge</v>
      </c>
      <c r="E565" s="71"/>
      <c r="F565" s="104"/>
      <c r="G565"/>
      <c r="H565" s="85">
        <v>2.1900000000000001E-3</v>
      </c>
      <c r="I565" s="85"/>
      <c r="J565" s="85">
        <v>2.1900000000000001E-3</v>
      </c>
      <c r="K565" s="85">
        <f t="shared" si="132"/>
        <v>0</v>
      </c>
      <c r="L565" s="71"/>
      <c r="M565"/>
      <c r="N565"/>
      <c r="O565"/>
    </row>
    <row r="566" spans="2:15" ht="15.75" x14ac:dyDescent="0.25">
      <c r="B566" s="54">
        <f>IF(D566&lt;&gt;"",COUNTA($D$527:D566),"")</f>
        <v>35</v>
      </c>
      <c r="C566" s="54"/>
      <c r="D566" s="71" t="str">
        <f t="shared" si="131"/>
        <v>Long Term Renewable Contract Adjustment</v>
      </c>
      <c r="E566" s="71"/>
      <c r="F566" s="104"/>
      <c r="G566"/>
      <c r="H566" s="85">
        <v>-3.6999999999999999E-4</v>
      </c>
      <c r="I566" s="85"/>
      <c r="J566" s="85">
        <v>-3.6999999999999999E-4</v>
      </c>
      <c r="K566" s="85">
        <f t="shared" si="132"/>
        <v>0</v>
      </c>
      <c r="L566" s="71"/>
      <c r="M566"/>
      <c r="N566"/>
      <c r="O566"/>
    </row>
    <row r="567" spans="2:15" ht="15.75" x14ac:dyDescent="0.25">
      <c r="B567" s="54">
        <f>IF(D567&lt;&gt;"",COUNTA($D$527:D567),"")</f>
        <v>36</v>
      </c>
      <c r="C567" s="54"/>
      <c r="D567" s="71" t="str">
        <f t="shared" si="131"/>
        <v>AG Consulting Expense</v>
      </c>
      <c r="E567" s="71"/>
      <c r="F567" s="104"/>
      <c r="G567"/>
      <c r="H567" s="85">
        <v>1.0000000000000001E-5</v>
      </c>
      <c r="I567" s="85"/>
      <c r="J567" s="85">
        <v>1.0000000000000001E-5</v>
      </c>
      <c r="K567" s="85">
        <f t="shared" si="132"/>
        <v>0</v>
      </c>
      <c r="L567" s="71"/>
      <c r="M567"/>
      <c r="N567"/>
      <c r="O567"/>
    </row>
    <row r="568" spans="2:15" ht="15.75" x14ac:dyDescent="0.25">
      <c r="B568" s="54">
        <f>IF(D568&lt;&gt;"",COUNTA($D$527:D568),"")</f>
        <v>37</v>
      </c>
      <c r="C568" s="54"/>
      <c r="D568" s="71" t="str">
        <f t="shared" si="131"/>
        <v>Storm Cost Recovery Adjustment Factor</v>
      </c>
      <c r="E568" s="71"/>
      <c r="F568" s="104"/>
      <c r="G568"/>
      <c r="H568" s="85">
        <v>3.3700000000000002E-3</v>
      </c>
      <c r="I568" s="85"/>
      <c r="J568" s="85">
        <v>3.3700000000000002E-3</v>
      </c>
      <c r="K568" s="85">
        <f t="shared" si="132"/>
        <v>0</v>
      </c>
      <c r="L568" s="71"/>
      <c r="M568"/>
      <c r="N568"/>
      <c r="O568"/>
    </row>
    <row r="569" spans="2:15" ht="15.75" x14ac:dyDescent="0.25">
      <c r="B569" s="54">
        <f>IF(D569&lt;&gt;"",COUNTA($D$527:D569),"")</f>
        <v>38</v>
      </c>
      <c r="C569" s="54"/>
      <c r="D569" s="71" t="str">
        <f t="shared" si="131"/>
        <v>Storm Reserve Adjustment</v>
      </c>
      <c r="E569" s="71"/>
      <c r="F569" s="104"/>
      <c r="G569"/>
      <c r="H569" s="85">
        <v>0</v>
      </c>
      <c r="I569" s="85"/>
      <c r="J569" s="85">
        <v>0</v>
      </c>
      <c r="K569" s="85">
        <f t="shared" si="132"/>
        <v>0</v>
      </c>
      <c r="L569" s="71"/>
      <c r="M569"/>
      <c r="N569"/>
      <c r="O569"/>
    </row>
    <row r="570" spans="2:15" ht="15.75" x14ac:dyDescent="0.25">
      <c r="B570" s="54">
        <f>IF(D570&lt;&gt;"",COUNTA($D$527:D570),"")</f>
        <v>39</v>
      </c>
      <c r="C570" s="54"/>
      <c r="D570" s="71" t="str">
        <f t="shared" si="131"/>
        <v>Basic Service Cost True Up Factor</v>
      </c>
      <c r="E570" s="71"/>
      <c r="F570" s="104"/>
      <c r="G570"/>
      <c r="H570" s="85">
        <v>-2.5000000000000001E-4</v>
      </c>
      <c r="I570" s="85"/>
      <c r="J570" s="85">
        <v>-2.5000000000000001E-4</v>
      </c>
      <c r="K570" s="85">
        <f t="shared" si="132"/>
        <v>0</v>
      </c>
      <c r="L570" s="71"/>
      <c r="M570"/>
      <c r="N570"/>
      <c r="O570"/>
    </row>
    <row r="571" spans="2:15" ht="15.75" x14ac:dyDescent="0.25">
      <c r="B571" s="54">
        <f>IF(D571&lt;&gt;"",COUNTA($D$527:D571),"")</f>
        <v>40</v>
      </c>
      <c r="C571" s="54"/>
      <c r="D571" s="71" t="str">
        <f t="shared" si="131"/>
        <v>Solar Program Cost Adjustment Factor</v>
      </c>
      <c r="E571" s="71"/>
      <c r="F571" s="104"/>
      <c r="G571"/>
      <c r="H571" s="85">
        <v>6.0000000000000002E-5</v>
      </c>
      <c r="I571" s="85"/>
      <c r="J571" s="85">
        <v>6.0000000000000002E-5</v>
      </c>
      <c r="K571" s="85">
        <f t="shared" si="132"/>
        <v>0</v>
      </c>
      <c r="L571" s="71"/>
      <c r="M571"/>
      <c r="N571"/>
      <c r="O571"/>
    </row>
    <row r="572" spans="2:15" ht="15.75" x14ac:dyDescent="0.25">
      <c r="B572" s="54">
        <f>IF(D572&lt;&gt;"",COUNTA($D$527:D572),"")</f>
        <v>41</v>
      </c>
      <c r="C572" s="54"/>
      <c r="D572" s="71" t="str">
        <f t="shared" si="131"/>
        <v>Solar Expansion Cost Recovery Factor</v>
      </c>
      <c r="E572"/>
      <c r="F572"/>
      <c r="G572"/>
      <c r="H572" s="85">
        <v>-1E-4</v>
      </c>
      <c r="I572" s="85"/>
      <c r="J572" s="85">
        <v>-1E-4</v>
      </c>
      <c r="K572" s="85">
        <f t="shared" si="132"/>
        <v>0</v>
      </c>
      <c r="L572" s="71"/>
      <c r="M572"/>
      <c r="N572"/>
      <c r="O572"/>
    </row>
    <row r="573" spans="2:15" ht="15.75" x14ac:dyDescent="0.25">
      <c r="B573" s="54">
        <f>IF(D573&lt;&gt;"",COUNTA($D$527:D573),"")</f>
        <v>42</v>
      </c>
      <c r="C573" s="54"/>
      <c r="D573" s="71" t="str">
        <f t="shared" si="131"/>
        <v>Vegetation Management</v>
      </c>
      <c r="E573" s="71"/>
      <c r="F573" s="104"/>
      <c r="G573"/>
      <c r="H573" s="85">
        <v>4.4999999999999999E-4</v>
      </c>
      <c r="I573" s="85"/>
      <c r="J573" s="85">
        <v>4.4999999999999999E-4</v>
      </c>
      <c r="K573" s="85">
        <f t="shared" si="132"/>
        <v>0</v>
      </c>
      <c r="L573" s="71"/>
      <c r="M573"/>
      <c r="N573"/>
      <c r="O573"/>
    </row>
    <row r="574" spans="2:15" ht="15.75" x14ac:dyDescent="0.25">
      <c r="B574" s="54">
        <f>IF(D574&lt;&gt;"",COUNTA($D$527:D574),"")</f>
        <v>43</v>
      </c>
      <c r="C574" s="54"/>
      <c r="D574" s="71" t="str">
        <f t="shared" si="131"/>
        <v>Tax Act Credit Factor</v>
      </c>
      <c r="E574" s="71"/>
      <c r="F574" s="104"/>
      <c r="G574"/>
      <c r="H574" s="85">
        <v>-3.2000000000000003E-4</v>
      </c>
      <c r="I574" s="85"/>
      <c r="J574" s="85">
        <v>-3.2000000000000003E-4</v>
      </c>
      <c r="K574" s="85">
        <f t="shared" si="132"/>
        <v>0</v>
      </c>
      <c r="L574" s="71"/>
      <c r="M574"/>
      <c r="N574"/>
      <c r="O574"/>
    </row>
    <row r="575" spans="2:15" ht="15.75" x14ac:dyDescent="0.25">
      <c r="B575" s="54">
        <f>IF(D575&lt;&gt;"",COUNTA($D$527:D575),"")</f>
        <v>44</v>
      </c>
      <c r="C575" s="54"/>
      <c r="D575" s="71" t="str">
        <f t="shared" si="131"/>
        <v>Grid Modernization</v>
      </c>
      <c r="E575" s="71"/>
      <c r="F575" s="104"/>
      <c r="G575"/>
      <c r="H575" s="85">
        <v>9.5E-4</v>
      </c>
      <c r="I575" s="85"/>
      <c r="J575" s="85">
        <v>9.5E-4</v>
      </c>
      <c r="K575" s="85">
        <f t="shared" si="132"/>
        <v>0</v>
      </c>
      <c r="L575" s="71"/>
      <c r="M575"/>
      <c r="N575"/>
      <c r="O575"/>
    </row>
    <row r="576" spans="2:15" ht="15.75" x14ac:dyDescent="0.25">
      <c r="B576" s="54">
        <f>IF(D576&lt;&gt;"",COUNTA($D$527:D576),"")</f>
        <v>45</v>
      </c>
      <c r="C576" s="54"/>
      <c r="D576" s="71" t="str">
        <f t="shared" si="131"/>
        <v>Advanced Metering Infrastructure</v>
      </c>
      <c r="E576" s="71"/>
      <c r="F576" s="104"/>
      <c r="G576"/>
      <c r="H576" s="85">
        <v>2.98E-3</v>
      </c>
      <c r="I576" s="85"/>
      <c r="J576" s="85">
        <v>2.98E-3</v>
      </c>
      <c r="K576" s="85">
        <f t="shared" si="132"/>
        <v>0</v>
      </c>
      <c r="L576" s="71"/>
      <c r="M576"/>
      <c r="N576"/>
      <c r="O576"/>
    </row>
    <row r="577" spans="2:15" ht="15.75" x14ac:dyDescent="0.25">
      <c r="B577" s="54">
        <f>IF(D577&lt;&gt;"",COUNTA($D$527:D577),"")</f>
        <v>46</v>
      </c>
      <c r="C577" s="54"/>
      <c r="D577" s="71" t="str">
        <f t="shared" si="131"/>
        <v>Electronic Payment Recovery</v>
      </c>
      <c r="E577" s="71"/>
      <c r="F577" s="104"/>
      <c r="G577"/>
      <c r="H577" s="85">
        <v>0</v>
      </c>
      <c r="I577" s="85"/>
      <c r="J577" s="85">
        <v>0</v>
      </c>
      <c r="K577" s="85">
        <f>+J577-H577</f>
        <v>0</v>
      </c>
      <c r="L577" s="71"/>
      <c r="M577"/>
      <c r="N577"/>
      <c r="O577"/>
    </row>
    <row r="578" spans="2:15" ht="15.75" x14ac:dyDescent="0.25">
      <c r="B578" s="54">
        <f>IF(D578&lt;&gt;"",COUNTA($D$527:D578),"")</f>
        <v>47</v>
      </c>
      <c r="C578" s="54"/>
      <c r="D578" s="71" t="str">
        <f t="shared" si="131"/>
        <v>Provisional System Planning Factor</v>
      </c>
      <c r="E578" s="71"/>
      <c r="F578" s="104"/>
      <c r="G578"/>
      <c r="H578" s="85">
        <v>2.0000000000000002E-5</v>
      </c>
      <c r="I578" s="85"/>
      <c r="J578" s="85">
        <v>2.0000000000000002E-5</v>
      </c>
      <c r="K578" s="85">
        <f>+J578-H578</f>
        <v>0</v>
      </c>
      <c r="L578" s="71"/>
      <c r="M578"/>
      <c r="N578"/>
      <c r="O578"/>
    </row>
    <row r="579" spans="2:15" ht="15.75" x14ac:dyDescent="0.25">
      <c r="B579" s="54">
        <f>IF(D579&lt;&gt;"",COUNTA($D$527:D579),"")</f>
        <v>48</v>
      </c>
      <c r="C579" s="54"/>
      <c r="D579" s="71" t="s">
        <v>70</v>
      </c>
      <c r="E579" s="71"/>
      <c r="F579" s="104"/>
      <c r="G579"/>
      <c r="H579" s="85">
        <v>0</v>
      </c>
      <c r="I579" s="85"/>
      <c r="J579" s="85">
        <v>0</v>
      </c>
      <c r="K579" s="85">
        <f>+J579-H579</f>
        <v>0</v>
      </c>
      <c r="L579" s="71"/>
      <c r="M579"/>
      <c r="N579"/>
      <c r="O579"/>
    </row>
    <row r="580" spans="2:15" ht="15.75" x14ac:dyDescent="0.25">
      <c r="B580" s="54">
        <f>IF(D580&lt;&gt;"",COUNTA($D$527:D580),"")</f>
        <v>49</v>
      </c>
      <c r="C580" s="54"/>
      <c r="D580" s="71" t="str">
        <f t="shared" ref="D580:D586" si="133">D511</f>
        <v>Electric Vehicle Factor</v>
      </c>
      <c r="E580" s="71"/>
      <c r="F580" s="104"/>
      <c r="G580"/>
      <c r="H580" s="85">
        <v>3.5E-4</v>
      </c>
      <c r="I580" s="85"/>
      <c r="J580" s="85">
        <v>3.5E-4</v>
      </c>
      <c r="K580" s="85">
        <f>+J580-H580</f>
        <v>0</v>
      </c>
      <c r="L580" s="71"/>
      <c r="M580"/>
      <c r="N580"/>
      <c r="O580"/>
    </row>
    <row r="581" spans="2:15" ht="15.75" x14ac:dyDescent="0.25">
      <c r="B581" s="54">
        <f>IF(D581&lt;&gt;"",COUNTA($D$527:D581),"")</f>
        <v>50</v>
      </c>
      <c r="C581" s="54"/>
      <c r="D581" s="71" t="str">
        <f t="shared" si="133"/>
        <v>Transition</v>
      </c>
      <c r="E581" s="71"/>
      <c r="F581" s="104"/>
      <c r="G581"/>
      <c r="H581" s="85">
        <v>-7.6999999999999996E-4</v>
      </c>
      <c r="I581" s="85"/>
      <c r="J581" s="85">
        <v>-7.6999999999999996E-4</v>
      </c>
      <c r="K581" s="85">
        <f t="shared" si="132"/>
        <v>0</v>
      </c>
      <c r="L581" s="71"/>
      <c r="M581"/>
      <c r="N581"/>
      <c r="O581"/>
    </row>
    <row r="582" spans="2:15" ht="15.75" x14ac:dyDescent="0.25">
      <c r="B582" s="54">
        <f>IF(D582&lt;&gt;"",COUNTA($D$527:D582),"")</f>
        <v>51</v>
      </c>
      <c r="C582" s="54"/>
      <c r="D582" s="71" t="str">
        <f t="shared" si="133"/>
        <v>Transmission Demand</v>
      </c>
      <c r="E582" s="71"/>
      <c r="F582" s="104"/>
      <c r="G582"/>
      <c r="H582" s="81">
        <v>14.08</v>
      </c>
      <c r="I582" s="132"/>
      <c r="J582" s="81">
        <v>14.08</v>
      </c>
      <c r="K582" s="81">
        <f t="shared" si="132"/>
        <v>0</v>
      </c>
      <c r="L582" s="71"/>
      <c r="M582"/>
      <c r="N582"/>
      <c r="O582"/>
    </row>
    <row r="583" spans="2:15" ht="15.75" x14ac:dyDescent="0.25">
      <c r="B583" s="54">
        <f>IF(D583&lt;&gt;"",COUNTA($D$527:D583),"")</f>
        <v>52</v>
      </c>
      <c r="C583" s="54"/>
      <c r="D583" s="71" t="str">
        <f t="shared" si="133"/>
        <v>Energy Efficiency Reconciliation Factor</v>
      </c>
      <c r="E583" s="71"/>
      <c r="F583" s="104"/>
      <c r="G583"/>
      <c r="H583" s="85">
        <v>2.682E-2</v>
      </c>
      <c r="I583" s="85"/>
      <c r="J583" s="85">
        <v>3.4909999999999997E-2</v>
      </c>
      <c r="K583" s="85">
        <f t="shared" si="132"/>
        <v>8.0899999999999965E-3</v>
      </c>
      <c r="L583" s="71"/>
      <c r="M583"/>
      <c r="N583"/>
      <c r="O583"/>
    </row>
    <row r="584" spans="2:15" ht="15.75" x14ac:dyDescent="0.25">
      <c r="B584" s="54">
        <f>IF(D584&lt;&gt;"",COUNTA($D$527:D584),"")</f>
        <v>53</v>
      </c>
      <c r="C584" s="54"/>
      <c r="D584" s="71" t="str">
        <f t="shared" si="133"/>
        <v>System Benefits Charge</v>
      </c>
      <c r="E584" s="71"/>
      <c r="F584" s="104"/>
      <c r="G584"/>
      <c r="H584" s="85">
        <v>2.5000000000000001E-3</v>
      </c>
      <c r="I584" s="85"/>
      <c r="J584" s="85">
        <v>2.5000000000000001E-3</v>
      </c>
      <c r="K584" s="85">
        <f t="shared" si="132"/>
        <v>0</v>
      </c>
      <c r="L584" s="71"/>
      <c r="M584"/>
      <c r="N584"/>
      <c r="O584"/>
    </row>
    <row r="585" spans="2:15" ht="15.75" x14ac:dyDescent="0.25">
      <c r="B585" s="54">
        <f>IF(D585&lt;&gt;"",COUNTA($D$527:D585),"")</f>
        <v>54</v>
      </c>
      <c r="C585" s="54"/>
      <c r="D585" s="71" t="str">
        <f t="shared" si="133"/>
        <v>Renewable Energy Charge</v>
      </c>
      <c r="E585" s="71"/>
      <c r="F585" s="104"/>
      <c r="G585"/>
      <c r="H585" s="85">
        <v>5.0000000000000001E-4</v>
      </c>
      <c r="I585" s="85"/>
      <c r="J585" s="85">
        <v>5.0000000000000001E-4</v>
      </c>
      <c r="K585" s="85">
        <f t="shared" si="132"/>
        <v>0</v>
      </c>
      <c r="L585" s="71"/>
      <c r="M585"/>
      <c r="N585"/>
      <c r="O585"/>
    </row>
    <row r="586" spans="2:15" ht="15.75" x14ac:dyDescent="0.25">
      <c r="B586" s="54">
        <f>IF(D586&lt;&gt;"",COUNTA($D$527:D586),"")</f>
        <v>55</v>
      </c>
      <c r="C586" s="54"/>
      <c r="D586" s="71" t="str">
        <f t="shared" si="133"/>
        <v>Supply Charge</v>
      </c>
      <c r="E586" s="71"/>
      <c r="F586" s="104"/>
      <c r="G586"/>
      <c r="H586" s="85">
        <v>0.20463999999999999</v>
      </c>
      <c r="I586" s="85"/>
      <c r="J586" s="85">
        <v>0.20463999999999999</v>
      </c>
      <c r="K586" s="85">
        <f t="shared" si="132"/>
        <v>0</v>
      </c>
      <c r="L586" s="71"/>
      <c r="M586"/>
      <c r="N586"/>
      <c r="O586"/>
    </row>
    <row r="587" spans="2:15" ht="15.75" x14ac:dyDescent="0.25">
      <c r="B587" s="54" t="str">
        <f>IF(D587&lt;&gt;"",COUNTA($D$527:D587),"")</f>
        <v/>
      </c>
      <c r="C587" s="54"/>
      <c r="D587"/>
      <c r="E587"/>
      <c r="F587"/>
      <c r="G587"/>
      <c r="H587" s="102"/>
      <c r="I587" s="102"/>
      <c r="J587" s="102"/>
      <c r="K587" s="132"/>
      <c r="L587" s="71"/>
      <c r="M587"/>
      <c r="N587"/>
      <c r="O587"/>
    </row>
    <row r="588" spans="2:15" ht="15.75" x14ac:dyDescent="0.25">
      <c r="B588" s="54"/>
      <c r="C588" s="54"/>
      <c r="D588" s="133"/>
      <c r="E588"/>
      <c r="F588" s="134"/>
      <c r="G588" s="102"/>
      <c r="H588" s="135"/>
      <c r="I588" s="102"/>
      <c r="J588" s="71"/>
      <c r="K588"/>
      <c r="L588"/>
      <c r="M588"/>
    </row>
    <row r="589" spans="2:15" ht="15.75" x14ac:dyDescent="0.25">
      <c r="B589" s="92" t="str">
        <f>$B$3</f>
        <v>Cape Light Compact JPE</v>
      </c>
      <c r="C589" s="92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</row>
    <row r="590" spans="2:15" ht="15.75" x14ac:dyDescent="0.25">
      <c r="B590" s="92" t="str">
        <f>$B$4</f>
        <v>Calculation of Monthly Typical Bill</v>
      </c>
      <c r="C590" s="92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</row>
    <row r="591" spans="2:15" ht="15.75" x14ac:dyDescent="0.25">
      <c r="B591" s="92" t="str">
        <f>$B$5</f>
        <v>Proposed January 1, 2027</v>
      </c>
      <c r="C591" s="92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</row>
    <row r="592" spans="2:15" ht="15.75" x14ac:dyDescent="0.25">
      <c r="B592" s="107"/>
      <c r="C592" s="107"/>
      <c r="D592" s="71"/>
      <c r="E592" s="71"/>
      <c r="F592" s="95"/>
      <c r="G592" s="96"/>
      <c r="H592" s="97"/>
      <c r="I592" s="71"/>
      <c r="J592" s="71"/>
      <c r="K592" s="71"/>
      <c r="L592" s="71"/>
      <c r="M592" s="71"/>
      <c r="N592" s="71"/>
      <c r="O592" s="71"/>
    </row>
    <row r="593" spans="2:17" ht="15.75" x14ac:dyDescent="0.25">
      <c r="B593" s="108" t="s">
        <v>32</v>
      </c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</row>
    <row r="594" spans="2:17" ht="15.75" x14ac:dyDescent="0.25">
      <c r="B594" s="98"/>
      <c r="C594" s="98"/>
      <c r="D594" s="109"/>
      <c r="E594" s="71"/>
      <c r="F594" s="71"/>
      <c r="G594" s="71"/>
      <c r="H594" s="128"/>
      <c r="I594" s="71"/>
      <c r="J594"/>
      <c r="K594"/>
      <c r="L594"/>
      <c r="M594"/>
      <c r="N594"/>
      <c r="O594"/>
    </row>
    <row r="595" spans="2:17" ht="15.75" x14ac:dyDescent="0.25">
      <c r="B595" s="98"/>
      <c r="C595" s="98"/>
      <c r="D595" s="71"/>
      <c r="E595" s="71"/>
      <c r="F595" s="71"/>
      <c r="G595" s="71"/>
      <c r="H595" s="99"/>
      <c r="I595" s="71"/>
      <c r="J595"/>
      <c r="K595"/>
      <c r="L595"/>
      <c r="M595"/>
      <c r="N595"/>
      <c r="O595"/>
    </row>
    <row r="596" spans="2:17" ht="15.75" x14ac:dyDescent="0.25">
      <c r="B596" s="54">
        <f>IF(D596&lt;&gt;"",COUNTA($D$596:D596),"")</f>
        <v>1</v>
      </c>
      <c r="C596" s="54"/>
      <c r="D596" s="98" t="s">
        <v>40</v>
      </c>
      <c r="E596" s="98" t="s">
        <v>40</v>
      </c>
      <c r="F596" s="56" t="str">
        <f>$F$10</f>
        <v>2026 In Effect</v>
      </c>
      <c r="G596" s="56"/>
      <c r="H596" s="56"/>
      <c r="I596" s="51"/>
      <c r="J596" s="56" t="str">
        <f>$J$10</f>
        <v>2027 Proposed</v>
      </c>
      <c r="K596" s="57"/>
      <c r="L596" s="57"/>
      <c r="M596"/>
      <c r="N596" s="57" t="str">
        <f>$N$10</f>
        <v>Total Bill Impact</v>
      </c>
      <c r="O596" s="57"/>
    </row>
    <row r="597" spans="2:17" ht="15.75" x14ac:dyDescent="0.25">
      <c r="B597" s="54">
        <f>IF(D597&lt;&gt;"",COUNTA($D$596:D597),"")</f>
        <v>2</v>
      </c>
      <c r="C597" s="54"/>
      <c r="D597" s="110" t="s">
        <v>89</v>
      </c>
      <c r="E597" s="110" t="s">
        <v>42</v>
      </c>
      <c r="F597" s="110" t="s">
        <v>43</v>
      </c>
      <c r="G597" s="110" t="s">
        <v>44</v>
      </c>
      <c r="H597" s="110" t="s">
        <v>45</v>
      </c>
      <c r="I597" s="71"/>
      <c r="J597" s="110" t="s">
        <v>43</v>
      </c>
      <c r="K597" s="110" t="s">
        <v>44</v>
      </c>
      <c r="L597" s="110" t="s">
        <v>45</v>
      </c>
      <c r="M597"/>
      <c r="N597" s="110" t="s">
        <v>46</v>
      </c>
      <c r="O597" s="110" t="s">
        <v>10</v>
      </c>
    </row>
    <row r="598" spans="2:17" ht="15.75" x14ac:dyDescent="0.25">
      <c r="B598" s="54" t="str">
        <f>IF(D598&lt;&gt;"",COUNTA($D$596:D598),"")</f>
        <v/>
      </c>
      <c r="C598" s="54"/>
      <c r="D598" s="110"/>
      <c r="E598" s="110"/>
      <c r="F598" s="110"/>
      <c r="G598" s="110"/>
      <c r="H598" s="110"/>
      <c r="I598" s="71"/>
      <c r="J598" s="110"/>
      <c r="K598" s="110"/>
      <c r="L598" s="110"/>
      <c r="M598"/>
      <c r="N598" s="110"/>
      <c r="O598" s="110"/>
    </row>
    <row r="599" spans="2:17" ht="15.75" x14ac:dyDescent="0.25">
      <c r="B599" s="54">
        <f>IF(D599&lt;&gt;"",COUNTA($D$596:D599),"")</f>
        <v>3</v>
      </c>
      <c r="C599" s="54"/>
      <c r="D599" s="98" t="s">
        <v>90</v>
      </c>
      <c r="E599" s="98">
        <v>100</v>
      </c>
      <c r="F599" s="110"/>
      <c r="G599" s="110"/>
      <c r="H599" s="110"/>
      <c r="I599" s="71"/>
      <c r="J599" s="110"/>
      <c r="K599" s="110"/>
      <c r="L599" s="110"/>
      <c r="M599"/>
      <c r="N599" s="110"/>
      <c r="O599" s="110"/>
    </row>
    <row r="600" spans="2:17" x14ac:dyDescent="0.2">
      <c r="B600" s="54">
        <f>IF(D600&lt;&gt;"",COUNTA($D$596:D600),"")</f>
        <v>4</v>
      </c>
      <c r="C600" s="54"/>
      <c r="D600" s="113">
        <v>12</v>
      </c>
      <c r="E600" s="100">
        <v>1200</v>
      </c>
      <c r="F600" s="101">
        <f t="shared" ref="F600:F605" si="134">ROUND($H$626+$D600*SUM($H$627,$H$651)+SUM($H$628:$H$650,$H$652:$H$655)*$E600,2)</f>
        <v>241.38</v>
      </c>
      <c r="G600" s="136">
        <f t="shared" ref="G600:G605" si="135">ROUND($E600*$H$656,2)</f>
        <v>197.59</v>
      </c>
      <c r="H600" s="101">
        <f t="shared" ref="H600:H605" si="136">SUM(F600:G600)</f>
        <v>438.97</v>
      </c>
      <c r="I600" s="102"/>
      <c r="J600" s="101">
        <f t="shared" ref="J600:J605" si="137">ROUND($J$626+$D600*SUM($J$627,$J$651)+SUM($J$628:$J$650,$J$652:$J$655)*$E600,2)</f>
        <v>251.09</v>
      </c>
      <c r="K600" s="136">
        <f t="shared" ref="K600:K605" si="138">ROUND($J$656*$E600,2)</f>
        <v>197.59</v>
      </c>
      <c r="L600" s="101">
        <f t="shared" ref="L600:L605" si="139">SUM(J600:K600)</f>
        <v>448.68</v>
      </c>
      <c r="M600" s="102"/>
      <c r="N600" s="101">
        <f t="shared" ref="N600:N605" si="140">+L600-H600</f>
        <v>9.7099999999999795</v>
      </c>
      <c r="O600" s="137">
        <f t="shared" ref="O600:O605" si="141">+N600/H600</f>
        <v>2.2119962639815884E-2</v>
      </c>
      <c r="Q600" s="46" t="s">
        <v>27</v>
      </c>
    </row>
    <row r="601" spans="2:17" x14ac:dyDescent="0.2">
      <c r="B601" s="54">
        <f>IF(D601&lt;&gt;"",COUNTA($D$596:D601),"")</f>
        <v>5</v>
      </c>
      <c r="C601" s="54"/>
      <c r="D601" s="113">
        <v>24</v>
      </c>
      <c r="E601" s="100">
        <v>2400</v>
      </c>
      <c r="F601" s="101">
        <f t="shared" si="134"/>
        <v>467.76</v>
      </c>
      <c r="G601" s="136">
        <f t="shared" si="135"/>
        <v>395.18</v>
      </c>
      <c r="H601" s="101">
        <f t="shared" si="136"/>
        <v>862.94</v>
      </c>
      <c r="I601" s="102"/>
      <c r="J601" s="101">
        <f t="shared" si="137"/>
        <v>487.18</v>
      </c>
      <c r="K601" s="136">
        <f t="shared" si="138"/>
        <v>395.18</v>
      </c>
      <c r="L601" s="101">
        <f t="shared" si="139"/>
        <v>882.36</v>
      </c>
      <c r="M601" s="102"/>
      <c r="N601" s="101">
        <f t="shared" si="140"/>
        <v>19.419999999999959</v>
      </c>
      <c r="O601" s="137">
        <f t="shared" si="141"/>
        <v>2.2504461492108326E-2</v>
      </c>
    </row>
    <row r="602" spans="2:17" x14ac:dyDescent="0.2">
      <c r="B602" s="54">
        <f>IF(D602&lt;&gt;"",COUNTA($D$596:D602),"")</f>
        <v>6</v>
      </c>
      <c r="C602" s="54"/>
      <c r="D602" s="113">
        <v>40</v>
      </c>
      <c r="E602" s="100">
        <v>4000</v>
      </c>
      <c r="F602" s="101">
        <f t="shared" si="134"/>
        <v>769.6</v>
      </c>
      <c r="G602" s="136">
        <f t="shared" si="135"/>
        <v>658.64</v>
      </c>
      <c r="H602" s="101">
        <f t="shared" si="136"/>
        <v>1428.24</v>
      </c>
      <c r="I602" s="102"/>
      <c r="J602" s="101">
        <f t="shared" si="137"/>
        <v>801.96</v>
      </c>
      <c r="K602" s="136">
        <f t="shared" si="138"/>
        <v>658.64</v>
      </c>
      <c r="L602" s="101">
        <f t="shared" si="139"/>
        <v>1460.6</v>
      </c>
      <c r="M602" s="102"/>
      <c r="N602" s="101">
        <f t="shared" si="140"/>
        <v>32.3599999999999</v>
      </c>
      <c r="O602" s="137">
        <f t="shared" si="141"/>
        <v>2.2657256483504102E-2</v>
      </c>
    </row>
    <row r="603" spans="2:17" x14ac:dyDescent="0.2">
      <c r="B603" s="54">
        <f>IF(D603&lt;&gt;"",COUNTA($D$596:D603),"")</f>
        <v>7</v>
      </c>
      <c r="C603" s="54"/>
      <c r="D603" s="113">
        <v>50</v>
      </c>
      <c r="E603" s="100">
        <v>5000</v>
      </c>
      <c r="F603" s="101">
        <f t="shared" si="134"/>
        <v>958.25</v>
      </c>
      <c r="G603" s="136">
        <f t="shared" si="135"/>
        <v>823.3</v>
      </c>
      <c r="H603" s="101">
        <f t="shared" si="136"/>
        <v>1781.55</v>
      </c>
      <c r="I603" s="102"/>
      <c r="J603" s="101">
        <f t="shared" si="137"/>
        <v>998.7</v>
      </c>
      <c r="K603" s="136">
        <f t="shared" si="138"/>
        <v>823.3</v>
      </c>
      <c r="L603" s="101">
        <f t="shared" si="139"/>
        <v>1822</v>
      </c>
      <c r="M603" s="102"/>
      <c r="N603" s="101">
        <f t="shared" si="140"/>
        <v>40.450000000000045</v>
      </c>
      <c r="O603" s="137">
        <f t="shared" si="141"/>
        <v>2.2704947938592825E-2</v>
      </c>
    </row>
    <row r="604" spans="2:17" x14ac:dyDescent="0.2">
      <c r="B604" s="54">
        <f>IF(D604&lt;&gt;"",COUNTA($D$596:D604),"")</f>
        <v>8</v>
      </c>
      <c r="C604" s="54"/>
      <c r="D604" s="100">
        <v>125</v>
      </c>
      <c r="E604" s="100">
        <v>12500</v>
      </c>
      <c r="F604" s="101">
        <f t="shared" si="134"/>
        <v>2373.13</v>
      </c>
      <c r="G604" s="136">
        <f t="shared" si="135"/>
        <v>2058.25</v>
      </c>
      <c r="H604" s="101">
        <f t="shared" si="136"/>
        <v>4431.38</v>
      </c>
      <c r="I604" s="102"/>
      <c r="J604" s="101">
        <f t="shared" si="137"/>
        <v>2474.25</v>
      </c>
      <c r="K604" s="136">
        <f t="shared" si="138"/>
        <v>2058.25</v>
      </c>
      <c r="L604" s="101">
        <f t="shared" si="139"/>
        <v>4532.5</v>
      </c>
      <c r="M604" s="102"/>
      <c r="N604" s="101">
        <f t="shared" si="140"/>
        <v>101.11999999999989</v>
      </c>
      <c r="O604" s="137">
        <f t="shared" si="141"/>
        <v>2.2819076675888748E-2</v>
      </c>
      <c r="Q604" s="46" t="s">
        <v>27</v>
      </c>
    </row>
    <row r="605" spans="2:17" x14ac:dyDescent="0.2">
      <c r="B605" s="54">
        <f>IF(D605&lt;&gt;"",COUNTA($D$596:D605),"")</f>
        <v>9</v>
      </c>
      <c r="C605" s="54" t="s">
        <v>47</v>
      </c>
      <c r="D605" s="100">
        <v>50</v>
      </c>
      <c r="E605" s="100">
        <v>5000</v>
      </c>
      <c r="F605" s="101">
        <f t="shared" si="134"/>
        <v>958.25</v>
      </c>
      <c r="G605" s="136">
        <f t="shared" si="135"/>
        <v>823.3</v>
      </c>
      <c r="H605" s="101">
        <f t="shared" si="136"/>
        <v>1781.55</v>
      </c>
      <c r="I605" s="102"/>
      <c r="J605" s="101">
        <f t="shared" si="137"/>
        <v>998.7</v>
      </c>
      <c r="K605" s="136">
        <f t="shared" si="138"/>
        <v>823.3</v>
      </c>
      <c r="L605" s="101">
        <f t="shared" si="139"/>
        <v>1822</v>
      </c>
      <c r="M605" s="102"/>
      <c r="N605" s="101">
        <f t="shared" si="140"/>
        <v>40.450000000000045</v>
      </c>
      <c r="O605" s="137">
        <f t="shared" si="141"/>
        <v>2.2704947938592825E-2</v>
      </c>
    </row>
    <row r="606" spans="2:17" ht="15.75" x14ac:dyDescent="0.25">
      <c r="B606" s="54" t="str">
        <f>IF(D606&lt;&gt;"",COUNTA($D$596:D606),"")</f>
        <v/>
      </c>
      <c r="C606" s="54"/>
      <c r="D606" s="117"/>
      <c r="E606" s="117"/>
      <c r="F606" s="119"/>
      <c r="G606" s="119"/>
      <c r="H606" s="119"/>
      <c r="I606" s="120"/>
      <c r="J606" s="119"/>
      <c r="K606" s="119"/>
      <c r="L606" s="119"/>
      <c r="M606" s="120"/>
      <c r="N606" s="119"/>
      <c r="O606" s="138"/>
    </row>
    <row r="607" spans="2:17" x14ac:dyDescent="0.2">
      <c r="B607" s="54">
        <f>IF(D607&lt;&gt;"",COUNTA($D$596:D607),"")</f>
        <v>10</v>
      </c>
      <c r="C607" s="54"/>
      <c r="D607" s="98" t="s">
        <v>90</v>
      </c>
      <c r="E607" s="98">
        <v>215</v>
      </c>
      <c r="F607" s="102"/>
      <c r="G607" s="102"/>
      <c r="H607" s="102"/>
      <c r="I607" s="102"/>
      <c r="J607" s="102"/>
      <c r="K607" s="102"/>
      <c r="L607" s="102"/>
      <c r="M607" s="102"/>
      <c r="N607" s="102"/>
      <c r="O607" s="71"/>
    </row>
    <row r="608" spans="2:17" x14ac:dyDescent="0.2">
      <c r="B608" s="54">
        <f>IF(D608&lt;&gt;"",COUNTA($D$596:D608),"")</f>
        <v>11</v>
      </c>
      <c r="C608" s="54"/>
      <c r="D608" s="100">
        <v>10</v>
      </c>
      <c r="E608" s="100">
        <v>2150</v>
      </c>
      <c r="F608" s="101">
        <f t="shared" ref="F608:F613" si="142">ROUND($H$626+$D608*SUM($H$627,$H$651)+SUM($H$628:$H$650,$H$652:$H$655)*$E608,2)</f>
        <v>306.29000000000002</v>
      </c>
      <c r="G608" s="136">
        <f t="shared" ref="G608:G613" si="143">ROUND($E608*$H$656,2)</f>
        <v>354.02</v>
      </c>
      <c r="H608" s="101">
        <f t="shared" ref="H608:H613" si="144">SUM(F608:G608)</f>
        <v>660.31</v>
      </c>
      <c r="I608" s="102"/>
      <c r="J608" s="101">
        <f t="shared" ref="J608:J613" si="145">ROUND($J$626+$D608*SUM($J$627,$J$651)+SUM($J$628:$J$650,$J$652:$J$655)*$E608,2)</f>
        <v>323.68</v>
      </c>
      <c r="K608" s="136">
        <f t="shared" ref="K608:K613" si="146">ROUND($J$656*$E608,2)</f>
        <v>354.02</v>
      </c>
      <c r="L608" s="101">
        <f t="shared" ref="L608:L613" si="147">SUM(J608:K608)</f>
        <v>677.7</v>
      </c>
      <c r="M608" s="102"/>
      <c r="N608" s="101">
        <f t="shared" ref="N608:N613" si="148">+L608-H608</f>
        <v>17.3900000000001</v>
      </c>
      <c r="O608" s="137">
        <f t="shared" ref="O608:O613" si="149">+N608/H608</f>
        <v>2.6336114855143949E-2</v>
      </c>
    </row>
    <row r="609" spans="2:20" x14ac:dyDescent="0.2">
      <c r="B609" s="54">
        <f>IF(D609&lt;&gt;"",COUNTA($D$596:D609),"")</f>
        <v>12</v>
      </c>
      <c r="C609" s="54"/>
      <c r="D609" s="100">
        <v>20</v>
      </c>
      <c r="E609" s="100">
        <v>4300</v>
      </c>
      <c r="F609" s="101">
        <f t="shared" si="142"/>
        <v>597.58000000000004</v>
      </c>
      <c r="G609" s="136">
        <f t="shared" si="143"/>
        <v>708.04</v>
      </c>
      <c r="H609" s="101">
        <f t="shared" si="144"/>
        <v>1305.6199999999999</v>
      </c>
      <c r="I609" s="102"/>
      <c r="J609" s="101">
        <f t="shared" si="145"/>
        <v>632.36</v>
      </c>
      <c r="K609" s="136">
        <f t="shared" si="146"/>
        <v>708.04</v>
      </c>
      <c r="L609" s="101">
        <f t="shared" si="147"/>
        <v>1340.4</v>
      </c>
      <c r="M609" s="102"/>
      <c r="N609" s="101">
        <f t="shared" si="148"/>
        <v>34.7800000000002</v>
      </c>
      <c r="O609" s="137">
        <f t="shared" si="149"/>
        <v>2.6638685069162699E-2</v>
      </c>
    </row>
    <row r="610" spans="2:20" x14ac:dyDescent="0.2">
      <c r="B610" s="54">
        <f>IF(D610&lt;&gt;"",COUNTA($D$596:D610),"")</f>
        <v>13</v>
      </c>
      <c r="C610" s="54"/>
      <c r="D610" s="100">
        <v>30</v>
      </c>
      <c r="E610" s="100">
        <v>6450</v>
      </c>
      <c r="F610" s="101">
        <f t="shared" si="142"/>
        <v>888.86</v>
      </c>
      <c r="G610" s="136">
        <f t="shared" si="143"/>
        <v>1062.06</v>
      </c>
      <c r="H610" s="101">
        <f t="shared" si="144"/>
        <v>1950.92</v>
      </c>
      <c r="I610" s="102"/>
      <c r="J610" s="101">
        <f t="shared" si="145"/>
        <v>941.04</v>
      </c>
      <c r="K610" s="136">
        <f t="shared" si="146"/>
        <v>1062.06</v>
      </c>
      <c r="L610" s="101">
        <f t="shared" si="147"/>
        <v>2003.1</v>
      </c>
      <c r="M610" s="102"/>
      <c r="N610" s="101">
        <f t="shared" si="148"/>
        <v>52.179999999999836</v>
      </c>
      <c r="O610" s="137">
        <f t="shared" si="149"/>
        <v>2.6746355565579232E-2</v>
      </c>
    </row>
    <row r="611" spans="2:20" x14ac:dyDescent="0.2">
      <c r="B611" s="54">
        <f>IF(D611&lt;&gt;"",COUNTA($D$596:D611),"")</f>
        <v>14</v>
      </c>
      <c r="C611" s="54"/>
      <c r="D611" s="100">
        <v>40</v>
      </c>
      <c r="E611" s="100">
        <v>8600</v>
      </c>
      <c r="F611" s="101">
        <f t="shared" si="142"/>
        <v>1180.1500000000001</v>
      </c>
      <c r="G611" s="136">
        <f t="shared" si="143"/>
        <v>1416.08</v>
      </c>
      <c r="H611" s="101">
        <f t="shared" si="144"/>
        <v>2596.23</v>
      </c>
      <c r="I611" s="102"/>
      <c r="J611" s="101">
        <f t="shared" si="145"/>
        <v>1249.72</v>
      </c>
      <c r="K611" s="136">
        <f t="shared" si="146"/>
        <v>1416.08</v>
      </c>
      <c r="L611" s="101">
        <f t="shared" si="147"/>
        <v>2665.8</v>
      </c>
      <c r="M611" s="102"/>
      <c r="N611" s="101">
        <f t="shared" si="148"/>
        <v>69.570000000000164</v>
      </c>
      <c r="O611" s="137">
        <f t="shared" si="149"/>
        <v>2.6796547301279224E-2</v>
      </c>
    </row>
    <row r="612" spans="2:20" x14ac:dyDescent="0.2">
      <c r="B612" s="54">
        <f>IF(D612&lt;&gt;"",COUNTA($D$596:D612),"")</f>
        <v>15</v>
      </c>
      <c r="C612" s="54"/>
      <c r="D612" s="100">
        <v>80</v>
      </c>
      <c r="E612" s="100">
        <v>17200</v>
      </c>
      <c r="F612" s="101">
        <f t="shared" si="142"/>
        <v>2345.3000000000002</v>
      </c>
      <c r="G612" s="136">
        <f t="shared" si="143"/>
        <v>2832.15</v>
      </c>
      <c r="H612" s="101">
        <f t="shared" si="144"/>
        <v>5177.4500000000007</v>
      </c>
      <c r="I612" s="102"/>
      <c r="J612" s="101">
        <f t="shared" si="145"/>
        <v>2484.4499999999998</v>
      </c>
      <c r="K612" s="136">
        <f t="shared" si="146"/>
        <v>2832.15</v>
      </c>
      <c r="L612" s="101">
        <f t="shared" si="147"/>
        <v>5316.6</v>
      </c>
      <c r="M612" s="102"/>
      <c r="N612" s="101">
        <f t="shared" si="148"/>
        <v>139.14999999999964</v>
      </c>
      <c r="O612" s="137">
        <f t="shared" si="149"/>
        <v>2.6876164907435052E-2</v>
      </c>
      <c r="T612" s="46" t="s">
        <v>27</v>
      </c>
    </row>
    <row r="613" spans="2:20" x14ac:dyDescent="0.2">
      <c r="B613" s="54">
        <f>IF(D613&lt;&gt;"",COUNTA($D$596:D613),"")</f>
        <v>16</v>
      </c>
      <c r="C613" s="54" t="s">
        <v>47</v>
      </c>
      <c r="D613" s="100">
        <v>35</v>
      </c>
      <c r="E613" s="100">
        <v>7525</v>
      </c>
      <c r="F613" s="101">
        <f t="shared" si="142"/>
        <v>1034.51</v>
      </c>
      <c r="G613" s="136">
        <f t="shared" si="143"/>
        <v>1239.07</v>
      </c>
      <c r="H613" s="101">
        <f t="shared" si="144"/>
        <v>2273.58</v>
      </c>
      <c r="I613" s="102"/>
      <c r="J613" s="101">
        <f t="shared" si="145"/>
        <v>1095.3800000000001</v>
      </c>
      <c r="K613" s="136">
        <f t="shared" si="146"/>
        <v>1239.07</v>
      </c>
      <c r="L613" s="101">
        <f t="shared" si="147"/>
        <v>2334.4499999999998</v>
      </c>
      <c r="M613" s="102"/>
      <c r="N613" s="101">
        <f t="shared" si="148"/>
        <v>60.869999999999891</v>
      </c>
      <c r="O613" s="137">
        <f t="shared" si="149"/>
        <v>2.677275486237559E-2</v>
      </c>
    </row>
    <row r="614" spans="2:20" ht="15.75" x14ac:dyDescent="0.25">
      <c r="B614" s="54" t="str">
        <f>IF(D614&lt;&gt;"",COUNTA($D$596:D614),"")</f>
        <v/>
      </c>
      <c r="C614" s="54"/>
      <c r="D614" s="117"/>
      <c r="E614" s="117"/>
      <c r="F614" s="119"/>
      <c r="G614" s="119"/>
      <c r="H614" s="119"/>
      <c r="I614" s="120"/>
      <c r="J614" s="119"/>
      <c r="K614" s="119"/>
      <c r="L614" s="119"/>
      <c r="M614" s="120"/>
      <c r="N614" s="119"/>
      <c r="O614" s="138"/>
    </row>
    <row r="615" spans="2:20" x14ac:dyDescent="0.2">
      <c r="B615" s="54">
        <f>IF(D615&lt;&gt;"",COUNTA($D$596:D615),"")</f>
        <v>17</v>
      </c>
      <c r="C615" s="54"/>
      <c r="D615" s="98" t="s">
        <v>90</v>
      </c>
      <c r="E615" s="98">
        <v>390</v>
      </c>
      <c r="F615" s="102"/>
      <c r="G615" s="102"/>
      <c r="H615" s="102"/>
      <c r="I615" s="102"/>
      <c r="J615" s="102"/>
      <c r="K615" s="102"/>
      <c r="L615" s="102"/>
      <c r="M615" s="102"/>
      <c r="N615" s="102"/>
      <c r="O615" s="71"/>
    </row>
    <row r="616" spans="2:20" x14ac:dyDescent="0.2">
      <c r="B616" s="54">
        <f>IF(D616&lt;&gt;"",COUNTA($D$596:D616),"")</f>
        <v>18</v>
      </c>
      <c r="C616" s="54"/>
      <c r="D616" s="100">
        <v>7</v>
      </c>
      <c r="E616" s="100">
        <v>2730</v>
      </c>
      <c r="F616" s="101">
        <f t="shared" ref="F616:F621" si="150">ROUND($H$626+$D616*SUM($H$627,$H$651)+SUM($H$628:$H$650,$H$652:$H$655)*$E616,2)</f>
        <v>328.23</v>
      </c>
      <c r="G616" s="136">
        <f t="shared" ref="G616:G621" si="151">ROUND($E616*$H$656,2)</f>
        <v>449.52</v>
      </c>
      <c r="H616" s="101">
        <f t="shared" ref="H616:H621" si="152">SUM(F616:G616)</f>
        <v>777.75</v>
      </c>
      <c r="I616" s="102"/>
      <c r="J616" s="101">
        <f t="shared" ref="J616:J621" si="153">ROUND($J$626+$D616*SUM($J$627,$J$651)+SUM($J$628:$J$650,$J$652:$J$655)*$E616,2)</f>
        <v>350.32</v>
      </c>
      <c r="K616" s="136">
        <f t="shared" ref="K616:K621" si="154">ROUND($J$656*$E616,2)</f>
        <v>449.52</v>
      </c>
      <c r="L616" s="101">
        <f t="shared" ref="L616:L621" si="155">SUM(J616:K616)</f>
        <v>799.83999999999992</v>
      </c>
      <c r="M616" s="102"/>
      <c r="N616" s="101">
        <f t="shared" ref="N616:N621" si="156">+L616-H616</f>
        <v>22.089999999999918</v>
      </c>
      <c r="O616" s="137">
        <f t="shared" ref="O616:O621" si="157">+N616/H616</f>
        <v>2.8402442944390767E-2</v>
      </c>
    </row>
    <row r="617" spans="2:20" x14ac:dyDescent="0.2">
      <c r="B617" s="54">
        <f>IF(D617&lt;&gt;"",COUNTA($D$596:D617),"")</f>
        <v>19</v>
      </c>
      <c r="C617" s="54"/>
      <c r="D617" s="100">
        <v>15</v>
      </c>
      <c r="E617" s="100">
        <v>5850</v>
      </c>
      <c r="F617" s="101">
        <f t="shared" si="150"/>
        <v>686.21</v>
      </c>
      <c r="G617" s="136">
        <f t="shared" si="151"/>
        <v>963.26</v>
      </c>
      <c r="H617" s="101">
        <f t="shared" si="152"/>
        <v>1649.47</v>
      </c>
      <c r="I617" s="102"/>
      <c r="J617" s="101">
        <f t="shared" si="153"/>
        <v>733.54</v>
      </c>
      <c r="K617" s="136">
        <f t="shared" si="154"/>
        <v>963.26</v>
      </c>
      <c r="L617" s="101">
        <f t="shared" si="155"/>
        <v>1696.8</v>
      </c>
      <c r="M617" s="102"/>
      <c r="N617" s="101">
        <f t="shared" si="156"/>
        <v>47.329999999999927</v>
      </c>
      <c r="O617" s="137">
        <f t="shared" si="157"/>
        <v>2.8694065366450996E-2</v>
      </c>
    </row>
    <row r="618" spans="2:20" x14ac:dyDescent="0.2">
      <c r="B618" s="54">
        <f>IF(D618&lt;&gt;"",COUNTA($D$596:D618),"")</f>
        <v>20</v>
      </c>
      <c r="C618" s="54"/>
      <c r="D618" s="100">
        <v>20</v>
      </c>
      <c r="E618" s="100">
        <v>7800</v>
      </c>
      <c r="F618" s="101">
        <f t="shared" si="150"/>
        <v>909.95</v>
      </c>
      <c r="G618" s="136">
        <f t="shared" si="151"/>
        <v>1284.3499999999999</v>
      </c>
      <c r="H618" s="101">
        <f t="shared" si="152"/>
        <v>2194.3000000000002</v>
      </c>
      <c r="I618" s="102"/>
      <c r="J618" s="101">
        <f t="shared" si="153"/>
        <v>973.05</v>
      </c>
      <c r="K618" s="136">
        <f t="shared" si="154"/>
        <v>1284.3499999999999</v>
      </c>
      <c r="L618" s="101">
        <f t="shared" si="155"/>
        <v>2257.3999999999996</v>
      </c>
      <c r="M618" s="102"/>
      <c r="N618" s="101">
        <f t="shared" si="156"/>
        <v>63.099999999999454</v>
      </c>
      <c r="O618" s="137">
        <f t="shared" si="157"/>
        <v>2.8756323201020575E-2</v>
      </c>
    </row>
    <row r="619" spans="2:20" x14ac:dyDescent="0.2">
      <c r="B619" s="54">
        <f>IF(D619&lt;&gt;"",COUNTA($D$596:D619),"")</f>
        <v>21</v>
      </c>
      <c r="C619" s="54"/>
      <c r="D619" s="100">
        <v>30</v>
      </c>
      <c r="E619" s="100">
        <v>11700</v>
      </c>
      <c r="F619" s="101">
        <f t="shared" si="150"/>
        <v>1357.43</v>
      </c>
      <c r="G619" s="136">
        <f t="shared" si="151"/>
        <v>1926.52</v>
      </c>
      <c r="H619" s="101">
        <f t="shared" si="152"/>
        <v>3283.95</v>
      </c>
      <c r="I619" s="102"/>
      <c r="J619" s="101">
        <f t="shared" si="153"/>
        <v>1452.08</v>
      </c>
      <c r="K619" s="136">
        <f t="shared" si="154"/>
        <v>1926.52</v>
      </c>
      <c r="L619" s="101">
        <f t="shared" si="155"/>
        <v>3378.6</v>
      </c>
      <c r="M619" s="102"/>
      <c r="N619" s="101">
        <f t="shared" si="156"/>
        <v>94.650000000000091</v>
      </c>
      <c r="O619" s="137">
        <f t="shared" si="157"/>
        <v>2.8821997898871816E-2</v>
      </c>
    </row>
    <row r="620" spans="2:20" x14ac:dyDescent="0.2">
      <c r="B620" s="54">
        <f>IF(D620&lt;&gt;"",COUNTA($D$596:D620),"")</f>
        <v>22</v>
      </c>
      <c r="C620" s="54"/>
      <c r="D620" s="100">
        <v>60</v>
      </c>
      <c r="E620" s="100">
        <v>23400</v>
      </c>
      <c r="F620" s="101">
        <f t="shared" si="150"/>
        <v>2699.85</v>
      </c>
      <c r="G620" s="136">
        <f t="shared" si="151"/>
        <v>3853.04</v>
      </c>
      <c r="H620" s="101">
        <f t="shared" si="152"/>
        <v>6552.8899999999994</v>
      </c>
      <c r="I620" s="102"/>
      <c r="J620" s="101">
        <f t="shared" si="153"/>
        <v>2889.16</v>
      </c>
      <c r="K620" s="136">
        <f t="shared" si="154"/>
        <v>3853.04</v>
      </c>
      <c r="L620" s="101">
        <f t="shared" si="155"/>
        <v>6742.2</v>
      </c>
      <c r="M620" s="102"/>
      <c r="N620" s="101">
        <f t="shared" si="156"/>
        <v>189.3100000000004</v>
      </c>
      <c r="O620" s="137">
        <f t="shared" si="157"/>
        <v>2.8889543392304835E-2</v>
      </c>
    </row>
    <row r="621" spans="2:20" x14ac:dyDescent="0.2">
      <c r="B621" s="54">
        <f>IF(D621&lt;&gt;"",COUNTA($D$596:D621),"")</f>
        <v>23</v>
      </c>
      <c r="C621" s="54" t="s">
        <v>47</v>
      </c>
      <c r="D621" s="100">
        <v>27</v>
      </c>
      <c r="E621" s="100">
        <v>10530</v>
      </c>
      <c r="F621" s="101">
        <f t="shared" si="150"/>
        <v>1223.18</v>
      </c>
      <c r="G621" s="136">
        <f t="shared" si="151"/>
        <v>1733.87</v>
      </c>
      <c r="H621" s="101">
        <f t="shared" si="152"/>
        <v>2957.05</v>
      </c>
      <c r="I621" s="102"/>
      <c r="J621" s="101">
        <f t="shared" si="153"/>
        <v>1308.3699999999999</v>
      </c>
      <c r="K621" s="136">
        <f t="shared" si="154"/>
        <v>1733.87</v>
      </c>
      <c r="L621" s="101">
        <f t="shared" si="155"/>
        <v>3042.24</v>
      </c>
      <c r="M621" s="102"/>
      <c r="N621" s="101">
        <f t="shared" si="156"/>
        <v>85.1899999999996</v>
      </c>
      <c r="O621" s="137">
        <f t="shared" si="157"/>
        <v>2.880911719450114E-2</v>
      </c>
    </row>
    <row r="622" spans="2:20" ht="15.75" x14ac:dyDescent="0.25">
      <c r="B622" s="54" t="str">
        <f>IF(D622&lt;&gt;"",COUNTA($D$596:D622),"")</f>
        <v/>
      </c>
      <c r="C622" s="54"/>
      <c r="D622" s="122"/>
      <c r="E622" s="122"/>
      <c r="F622" s="119"/>
      <c r="G622" s="119"/>
      <c r="H622" s="119"/>
      <c r="I622" s="120"/>
      <c r="J622" s="119"/>
      <c r="K622" s="119"/>
      <c r="L622" s="119"/>
      <c r="M622" s="120"/>
      <c r="N622" s="119"/>
      <c r="O622" s="138"/>
    </row>
    <row r="623" spans="2:20" ht="15.75" x14ac:dyDescent="0.25">
      <c r="B623" s="54" t="str">
        <f>IF(D623&lt;&gt;"",COUNTA($D$596:D623),"")</f>
        <v/>
      </c>
      <c r="C623" s="54"/>
      <c r="D623" s="122"/>
      <c r="E623" s="122"/>
      <c r="F623" s="119"/>
      <c r="G623" s="119"/>
      <c r="H623" s="129"/>
      <c r="I623" s="130"/>
      <c r="J623" s="119"/>
      <c r="K623" s="119"/>
      <c r="L623" s="119"/>
      <c r="M623" s="131"/>
      <c r="N623" s="129"/>
      <c r="O623" s="138"/>
    </row>
    <row r="624" spans="2:20" ht="15.75" x14ac:dyDescent="0.25">
      <c r="B624" s="54">
        <f>IF(D624&lt;&gt;"",COUNTA($D$596:D624),"")</f>
        <v>24</v>
      </c>
      <c r="C624" s="54"/>
      <c r="D624" s="71" t="s">
        <v>27</v>
      </c>
      <c r="E624" s="71"/>
      <c r="F624" s="71"/>
      <c r="G624"/>
      <c r="H624" s="139" t="str">
        <f>$G$28</f>
        <v>2026 In Effect</v>
      </c>
      <c r="J624" s="139" t="str">
        <f>$H$28</f>
        <v>2027 Proposed</v>
      </c>
      <c r="K624" s="102"/>
      <c r="L624" s="71"/>
      <c r="M624"/>
      <c r="N624"/>
      <c r="O624"/>
    </row>
    <row r="625" spans="2:15" ht="17.25" x14ac:dyDescent="0.35">
      <c r="B625" s="54">
        <f>IF(D625&lt;&gt;"",COUNTA($D$596:D625),"")</f>
        <v>25</v>
      </c>
      <c r="C625" s="54"/>
      <c r="D625" s="104" t="s">
        <v>27</v>
      </c>
      <c r="E625" s="104"/>
      <c r="F625" s="71"/>
      <c r="G625"/>
      <c r="H625" s="140" t="s">
        <v>48</v>
      </c>
      <c r="I625" s="140"/>
      <c r="J625" s="140" t="s">
        <v>48</v>
      </c>
      <c r="K625" s="140" t="s">
        <v>46</v>
      </c>
      <c r="L625" s="71"/>
      <c r="M625"/>
      <c r="N625"/>
      <c r="O625"/>
    </row>
    <row r="626" spans="2:15" ht="15.75" x14ac:dyDescent="0.25">
      <c r="B626" s="54">
        <f>IF(D626&lt;&gt;"",COUNTA($D$596:D626),"")</f>
        <v>26</v>
      </c>
      <c r="C626" s="54"/>
      <c r="D626" s="71" t="s">
        <v>49</v>
      </c>
      <c r="E626" s="71"/>
      <c r="F626" s="104"/>
      <c r="G626"/>
      <c r="H626" s="141">
        <v>15</v>
      </c>
      <c r="I626" s="142"/>
      <c r="J626" s="141">
        <v>15</v>
      </c>
      <c r="K626" s="81">
        <f t="shared" ref="K626:K656" si="158">+J626-H626</f>
        <v>0</v>
      </c>
      <c r="L626" s="71"/>
      <c r="M626"/>
      <c r="N626"/>
      <c r="O626" t="s">
        <v>27</v>
      </c>
    </row>
    <row r="627" spans="2:15" ht="15.75" x14ac:dyDescent="0.25">
      <c r="B627" s="54">
        <f>IF(D627&lt;&gt;"",COUNTA($D$596:D627),"")</f>
        <v>27</v>
      </c>
      <c r="C627" s="54"/>
      <c r="D627" s="71" t="s">
        <v>91</v>
      </c>
      <c r="E627" s="71"/>
      <c r="F627" s="104"/>
      <c r="G627"/>
      <c r="H627" s="141">
        <v>2.59</v>
      </c>
      <c r="I627" s="142"/>
      <c r="J627" s="141">
        <v>2.59</v>
      </c>
      <c r="K627" s="81">
        <f t="shared" si="158"/>
        <v>0</v>
      </c>
      <c r="L627" s="71"/>
      <c r="M627"/>
      <c r="N627"/>
      <c r="O627"/>
    </row>
    <row r="628" spans="2:15" ht="15.75" x14ac:dyDescent="0.25">
      <c r="B628" s="54">
        <f>IF(D628&lt;&gt;"",COUNTA($D$596:D628),"")</f>
        <v>28</v>
      </c>
      <c r="C628" s="54"/>
      <c r="D628" s="71" t="s">
        <v>50</v>
      </c>
      <c r="E628" s="71"/>
      <c r="F628" s="104"/>
      <c r="G628"/>
      <c r="H628" s="85">
        <v>2.5860000000000001E-2</v>
      </c>
      <c r="I628" s="85"/>
      <c r="J628" s="85">
        <v>2.5860000000000001E-2</v>
      </c>
      <c r="K628" s="85">
        <f t="shared" si="158"/>
        <v>0</v>
      </c>
      <c r="L628" s="71"/>
      <c r="M628"/>
      <c r="N628"/>
      <c r="O628"/>
    </row>
    <row r="629" spans="2:15" ht="15.75" x14ac:dyDescent="0.25">
      <c r="B629" s="54">
        <f>IF(D629&lt;&gt;"",COUNTA($D$596:D629),"")</f>
        <v>29</v>
      </c>
      <c r="C629" s="54"/>
      <c r="D629" s="71" t="s">
        <v>51</v>
      </c>
      <c r="E629" s="71"/>
      <c r="F629" s="104"/>
      <c r="G629"/>
      <c r="H629" s="85">
        <v>-1.0000000000000001E-5</v>
      </c>
      <c r="I629" s="85"/>
      <c r="J629" s="85">
        <v>-1.0000000000000001E-5</v>
      </c>
      <c r="K629" s="85">
        <f t="shared" si="158"/>
        <v>0</v>
      </c>
      <c r="L629" s="71"/>
      <c r="M629"/>
      <c r="N629"/>
      <c r="O629"/>
    </row>
    <row r="630" spans="2:15" ht="15.75" x14ac:dyDescent="0.25">
      <c r="B630" s="54">
        <f>IF(D630&lt;&gt;"",COUNTA($D$596:D630),"")</f>
        <v>30</v>
      </c>
      <c r="C630" s="54"/>
      <c r="D630" s="71" t="s">
        <v>52</v>
      </c>
      <c r="E630" s="71"/>
      <c r="F630" s="104"/>
      <c r="G630"/>
      <c r="H630" s="85">
        <v>-3.4000000000000002E-4</v>
      </c>
      <c r="I630" s="85"/>
      <c r="J630" s="85">
        <v>-3.4000000000000002E-4</v>
      </c>
      <c r="K630" s="85">
        <f t="shared" si="158"/>
        <v>0</v>
      </c>
      <c r="L630" s="71"/>
      <c r="M630"/>
      <c r="N630" t="s">
        <v>27</v>
      </c>
      <c r="O630"/>
    </row>
    <row r="631" spans="2:15" ht="15.75" x14ac:dyDescent="0.25">
      <c r="B631" s="54">
        <f>IF(D631&lt;&gt;"",COUNTA($D$596:D631),"")</f>
        <v>31</v>
      </c>
      <c r="C631" s="54"/>
      <c r="D631" s="71" t="s">
        <v>53</v>
      </c>
      <c r="E631" s="71"/>
      <c r="F631" s="104"/>
      <c r="G631"/>
      <c r="H631" s="85">
        <v>4.4999999999999997E-3</v>
      </c>
      <c r="I631" s="85"/>
      <c r="J631" s="85">
        <v>4.4999999999999997E-3</v>
      </c>
      <c r="K631" s="85">
        <f t="shared" si="158"/>
        <v>0</v>
      </c>
      <c r="L631" s="71"/>
      <c r="M631"/>
      <c r="N631"/>
      <c r="O631"/>
    </row>
    <row r="632" spans="2:15" ht="15.75" x14ac:dyDescent="0.25">
      <c r="B632" s="54">
        <f>IF(D632&lt;&gt;"",COUNTA($D$596:D632),"")</f>
        <v>32</v>
      </c>
      <c r="C632" s="54"/>
      <c r="D632" s="71" t="s">
        <v>54</v>
      </c>
      <c r="E632" s="71"/>
      <c r="F632" s="104"/>
      <c r="G632"/>
      <c r="H632" s="85">
        <v>7.9799999999999992E-3</v>
      </c>
      <c r="I632" s="85"/>
      <c r="J632" s="85">
        <v>7.9799999999999992E-3</v>
      </c>
      <c r="K632" s="85">
        <f t="shared" si="158"/>
        <v>0</v>
      </c>
      <c r="L632" s="71"/>
      <c r="M632"/>
      <c r="N632"/>
      <c r="O632"/>
    </row>
    <row r="633" spans="2:15" ht="15.75" x14ac:dyDescent="0.25">
      <c r="B633" s="54">
        <f>IF(D633&lt;&gt;"",COUNTA($D$596:D633),"")</f>
        <v>33</v>
      </c>
      <c r="C633" s="54"/>
      <c r="D633" s="71" t="s">
        <v>55</v>
      </c>
      <c r="E633" s="71"/>
      <c r="F633" s="104"/>
      <c r="G633"/>
      <c r="H633" s="85">
        <v>9.7000000000000005E-4</v>
      </c>
      <c r="I633" s="85"/>
      <c r="J633" s="85">
        <v>9.7000000000000005E-4</v>
      </c>
      <c r="K633" s="85">
        <f t="shared" si="158"/>
        <v>0</v>
      </c>
      <c r="L633" s="71"/>
      <c r="M633"/>
      <c r="N633"/>
      <c r="O633"/>
    </row>
    <row r="634" spans="2:15" ht="15.75" x14ac:dyDescent="0.25">
      <c r="B634" s="54">
        <f>IF(D634&lt;&gt;"",COUNTA($D$596:D634),"")</f>
        <v>34</v>
      </c>
      <c r="C634" s="54"/>
      <c r="D634" s="71" t="s">
        <v>56</v>
      </c>
      <c r="E634" s="71"/>
      <c r="F634" s="104"/>
      <c r="G634"/>
      <c r="H634" s="85">
        <v>4.8300000000000001E-3</v>
      </c>
      <c r="I634" s="85"/>
      <c r="J634" s="85">
        <v>4.8300000000000001E-3</v>
      </c>
      <c r="K634" s="85">
        <f t="shared" si="158"/>
        <v>0</v>
      </c>
      <c r="L634" s="71"/>
      <c r="M634"/>
      <c r="N634"/>
      <c r="O634"/>
    </row>
    <row r="635" spans="2:15" ht="15.75" x14ac:dyDescent="0.25">
      <c r="B635" s="54">
        <f>IF(D635&lt;&gt;"",COUNTA($D$596:D635),"")</f>
        <v>35</v>
      </c>
      <c r="C635" s="54"/>
      <c r="D635" s="71" t="s">
        <v>57</v>
      </c>
      <c r="E635" s="71"/>
      <c r="F635" s="104"/>
      <c r="G635"/>
      <c r="H635" s="85">
        <v>-3.6999999999999999E-4</v>
      </c>
      <c r="I635" s="85"/>
      <c r="J635" s="85">
        <v>-3.6999999999999999E-4</v>
      </c>
      <c r="K635" s="85">
        <f t="shared" si="158"/>
        <v>0</v>
      </c>
      <c r="L635" s="71"/>
      <c r="M635"/>
      <c r="N635"/>
      <c r="O635"/>
    </row>
    <row r="636" spans="2:15" ht="15.75" x14ac:dyDescent="0.25">
      <c r="B636" s="54">
        <f>IF(D636&lt;&gt;"",COUNTA($D$596:D636),"")</f>
        <v>36</v>
      </c>
      <c r="C636" s="54"/>
      <c r="D636" s="71" t="s">
        <v>58</v>
      </c>
      <c r="E636" s="71"/>
      <c r="F636" s="104"/>
      <c r="G636"/>
      <c r="H636" s="85">
        <v>2.0000000000000002E-5</v>
      </c>
      <c r="I636" s="85"/>
      <c r="J636" s="85">
        <v>2.0000000000000002E-5</v>
      </c>
      <c r="K636" s="85">
        <f t="shared" si="158"/>
        <v>0</v>
      </c>
      <c r="L636" s="71"/>
      <c r="M636"/>
      <c r="N636"/>
      <c r="O636"/>
    </row>
    <row r="637" spans="2:15" ht="15.75" x14ac:dyDescent="0.25">
      <c r="B637" s="54">
        <f>IF(D637&lt;&gt;"",COUNTA($D$596:D637),"")</f>
        <v>37</v>
      </c>
      <c r="C637" s="54"/>
      <c r="D637" s="71" t="s">
        <v>59</v>
      </c>
      <c r="E637" s="71"/>
      <c r="F637" s="104"/>
      <c r="G637"/>
      <c r="H637" s="85">
        <v>7.4200000000000004E-3</v>
      </c>
      <c r="I637" s="85"/>
      <c r="J637" s="85">
        <v>7.4200000000000004E-3</v>
      </c>
      <c r="K637" s="85">
        <f t="shared" si="158"/>
        <v>0</v>
      </c>
      <c r="L637" s="71"/>
      <c r="M637"/>
      <c r="N637"/>
      <c r="O637"/>
    </row>
    <row r="638" spans="2:15" ht="15.75" x14ac:dyDescent="0.25">
      <c r="B638" s="54">
        <f>IF(D638&lt;&gt;"",COUNTA($D$596:D638),"")</f>
        <v>38</v>
      </c>
      <c r="C638" s="54"/>
      <c r="D638" s="71" t="s">
        <v>60</v>
      </c>
      <c r="E638" s="71"/>
      <c r="F638" s="104"/>
      <c r="G638"/>
      <c r="H638" s="85">
        <v>0</v>
      </c>
      <c r="I638" s="85"/>
      <c r="J638" s="85">
        <v>0</v>
      </c>
      <c r="K638" s="85">
        <f t="shared" si="158"/>
        <v>0</v>
      </c>
      <c r="L638" s="71"/>
      <c r="M638"/>
      <c r="N638"/>
      <c r="O638"/>
    </row>
    <row r="639" spans="2:15" ht="15.75" x14ac:dyDescent="0.25">
      <c r="B639" s="54">
        <f>IF(D639&lt;&gt;"",COUNTA($D$596:D639),"")</f>
        <v>39</v>
      </c>
      <c r="C639" s="54"/>
      <c r="D639" s="71" t="s">
        <v>61</v>
      </c>
      <c r="E639" s="71"/>
      <c r="F639" s="104"/>
      <c r="G639"/>
      <c r="H639" s="85">
        <v>-5.5000000000000003E-4</v>
      </c>
      <c r="I639" s="85"/>
      <c r="J639" s="85">
        <v>-5.5000000000000003E-4</v>
      </c>
      <c r="K639" s="85">
        <f t="shared" si="158"/>
        <v>0</v>
      </c>
      <c r="L639" s="71"/>
      <c r="M639"/>
      <c r="N639"/>
      <c r="O639"/>
    </row>
    <row r="640" spans="2:15" ht="15.75" x14ac:dyDescent="0.25">
      <c r="B640" s="54">
        <f>IF(D640&lt;&gt;"",COUNTA($D$596:D640),"")</f>
        <v>40</v>
      </c>
      <c r="C640" s="54"/>
      <c r="D640" s="71" t="s">
        <v>62</v>
      </c>
      <c r="E640"/>
      <c r="F640"/>
      <c r="G640"/>
      <c r="H640" s="85">
        <v>1.3999999999999999E-4</v>
      </c>
      <c r="I640" s="85"/>
      <c r="J640" s="85">
        <v>1.3999999999999999E-4</v>
      </c>
      <c r="K640" s="85">
        <f t="shared" si="158"/>
        <v>0</v>
      </c>
      <c r="L640" s="71"/>
      <c r="M640"/>
      <c r="N640"/>
      <c r="O640"/>
    </row>
    <row r="641" spans="2:15" ht="15.75" x14ac:dyDescent="0.25">
      <c r="B641" s="54">
        <f>IF(D641&lt;&gt;"",COUNTA($D$596:D641),"")</f>
        <v>41</v>
      </c>
      <c r="C641" s="54"/>
      <c r="D641" s="71" t="s">
        <v>63</v>
      </c>
      <c r="E641" s="71"/>
      <c r="F641" s="104"/>
      <c r="G641"/>
      <c r="H641" s="85">
        <v>-2.4000000000000001E-4</v>
      </c>
      <c r="I641" s="85"/>
      <c r="J641" s="85">
        <v>-2.4000000000000001E-4</v>
      </c>
      <c r="K641" s="85">
        <f t="shared" si="158"/>
        <v>0</v>
      </c>
      <c r="L641" s="71"/>
      <c r="M641"/>
      <c r="N641"/>
      <c r="O641"/>
    </row>
    <row r="642" spans="2:15" ht="15.75" x14ac:dyDescent="0.25">
      <c r="B642" s="54">
        <f>IF(D642&lt;&gt;"",COUNTA($D$596:D642),"")</f>
        <v>42</v>
      </c>
      <c r="C642" s="54"/>
      <c r="D642" s="71" t="s">
        <v>64</v>
      </c>
      <c r="E642" s="71"/>
      <c r="F642" s="104"/>
      <c r="G642"/>
      <c r="H642" s="85">
        <v>9.7999999999999997E-4</v>
      </c>
      <c r="I642" s="85"/>
      <c r="J642" s="85">
        <v>9.7999999999999997E-4</v>
      </c>
      <c r="K642" s="85">
        <f t="shared" si="158"/>
        <v>0</v>
      </c>
      <c r="L642" s="71"/>
      <c r="M642"/>
      <c r="N642"/>
      <c r="O642"/>
    </row>
    <row r="643" spans="2:15" ht="15.75" x14ac:dyDescent="0.25">
      <c r="B643" s="54">
        <f>IF(D643&lt;&gt;"",COUNTA($D$596:D643),"")</f>
        <v>43</v>
      </c>
      <c r="C643" s="54"/>
      <c r="D643" s="71" t="s">
        <v>65</v>
      </c>
      <c r="E643" s="71"/>
      <c r="F643" s="104"/>
      <c r="G643"/>
      <c r="H643" s="85">
        <v>-7.1000000000000002E-4</v>
      </c>
      <c r="I643" s="85"/>
      <c r="J643" s="85">
        <v>-7.1000000000000002E-4</v>
      </c>
      <c r="K643" s="85">
        <f t="shared" si="158"/>
        <v>0</v>
      </c>
      <c r="L643" s="71"/>
      <c r="M643"/>
      <c r="N643"/>
      <c r="O643"/>
    </row>
    <row r="644" spans="2:15" ht="15.75" x14ac:dyDescent="0.25">
      <c r="B644" s="54">
        <f>IF(D644&lt;&gt;"",COUNTA($D$596:D644),"")</f>
        <v>44</v>
      </c>
      <c r="C644" s="54"/>
      <c r="D644" s="71" t="s">
        <v>66</v>
      </c>
      <c r="E644" s="71"/>
      <c r="F644" s="104"/>
      <c r="G644"/>
      <c r="H644" s="85">
        <v>2.14E-3</v>
      </c>
      <c r="I644" s="85"/>
      <c r="J644" s="85">
        <v>2.14E-3</v>
      </c>
      <c r="K644" s="85">
        <f t="shared" si="158"/>
        <v>0</v>
      </c>
      <c r="L644" s="71"/>
      <c r="M644"/>
      <c r="N644"/>
      <c r="O644"/>
    </row>
    <row r="645" spans="2:15" ht="15.75" x14ac:dyDescent="0.25">
      <c r="B645" s="54">
        <f>IF(D645&lt;&gt;"",COUNTA($D$596:D645),"")</f>
        <v>45</v>
      </c>
      <c r="C645" s="54"/>
      <c r="D645" s="71" t="s">
        <v>67</v>
      </c>
      <c r="E645" s="71"/>
      <c r="F645" s="104"/>
      <c r="G645"/>
      <c r="H645" s="85">
        <v>6.7200000000000003E-3</v>
      </c>
      <c r="I645" s="85"/>
      <c r="J645" s="85">
        <v>6.7200000000000003E-3</v>
      </c>
      <c r="K645" s="85">
        <f t="shared" si="158"/>
        <v>0</v>
      </c>
      <c r="L645" s="71"/>
      <c r="M645"/>
      <c r="N645"/>
      <c r="O645"/>
    </row>
    <row r="646" spans="2:15" ht="15.75" x14ac:dyDescent="0.25">
      <c r="B646" s="54">
        <f>IF(D646&lt;&gt;"",COUNTA($D$596:D646),"")</f>
        <v>46</v>
      </c>
      <c r="C646" s="54"/>
      <c r="D646" s="71" t="s">
        <v>68</v>
      </c>
      <c r="E646" s="71"/>
      <c r="F646" s="104"/>
      <c r="G646"/>
      <c r="H646" s="85">
        <v>0</v>
      </c>
      <c r="I646" s="85"/>
      <c r="J646" s="85">
        <v>0</v>
      </c>
      <c r="K646" s="85">
        <f>+J646-H646</f>
        <v>0</v>
      </c>
      <c r="L646" s="71"/>
      <c r="M646"/>
      <c r="N646"/>
      <c r="O646"/>
    </row>
    <row r="647" spans="2:15" ht="15.75" x14ac:dyDescent="0.25">
      <c r="B647" s="54">
        <f>IF(D647&lt;&gt;"",COUNTA($D$596:D647),"")</f>
        <v>47</v>
      </c>
      <c r="C647" s="54"/>
      <c r="D647" s="71" t="s">
        <v>69</v>
      </c>
      <c r="E647" s="71"/>
      <c r="F647" s="104"/>
      <c r="G647"/>
      <c r="H647" s="85">
        <v>6.0000000000000002E-5</v>
      </c>
      <c r="I647" s="85"/>
      <c r="J647" s="85">
        <v>6.0000000000000002E-5</v>
      </c>
      <c r="K647" s="85">
        <f>+J647-H647</f>
        <v>0</v>
      </c>
      <c r="L647" s="71"/>
      <c r="M647"/>
      <c r="N647"/>
      <c r="O647"/>
    </row>
    <row r="648" spans="2:15" ht="15.75" x14ac:dyDescent="0.25">
      <c r="B648" s="54">
        <f>IF(D648&lt;&gt;"",COUNTA($D$596:D648),"")</f>
        <v>48</v>
      </c>
      <c r="C648" s="54"/>
      <c r="D648" s="71" t="s">
        <v>70</v>
      </c>
      <c r="E648" s="71"/>
      <c r="F648" s="104"/>
      <c r="G648"/>
      <c r="H648" s="85">
        <v>1.0000000000000001E-5</v>
      </c>
      <c r="I648" s="85"/>
      <c r="J648" s="85">
        <v>1.0000000000000001E-5</v>
      </c>
      <c r="K648" s="85">
        <f>+J648-H648</f>
        <v>0</v>
      </c>
      <c r="L648" s="71"/>
      <c r="M648"/>
      <c r="N648"/>
      <c r="O648"/>
    </row>
    <row r="649" spans="2:15" ht="15.75" x14ac:dyDescent="0.25">
      <c r="B649" s="54">
        <f>IF(D649&lt;&gt;"",COUNTA($D$596:D649),"")</f>
        <v>49</v>
      </c>
      <c r="C649" s="54"/>
      <c r="D649" s="71" t="s">
        <v>71</v>
      </c>
      <c r="E649" s="71"/>
      <c r="F649" s="104"/>
      <c r="G649"/>
      <c r="H649" s="85">
        <v>7.9000000000000001E-4</v>
      </c>
      <c r="I649" s="85"/>
      <c r="J649" s="85">
        <v>7.9000000000000001E-4</v>
      </c>
      <c r="K649" s="85">
        <f>+J649-H649</f>
        <v>0</v>
      </c>
      <c r="L649" s="71"/>
      <c r="M649"/>
      <c r="N649"/>
      <c r="O649"/>
    </row>
    <row r="650" spans="2:15" ht="15.75" x14ac:dyDescent="0.25">
      <c r="B650" s="54">
        <f>IF(D650&lt;&gt;"",COUNTA($D$596:D650),"")</f>
        <v>50</v>
      </c>
      <c r="C650" s="54"/>
      <c r="D650" s="71" t="s">
        <v>72</v>
      </c>
      <c r="E650" s="71"/>
      <c r="F650" s="104"/>
      <c r="G650"/>
      <c r="H650" s="85">
        <v>-7.6999999999999996E-4</v>
      </c>
      <c r="I650" s="85"/>
      <c r="J650" s="85">
        <v>-7.6999999999999996E-4</v>
      </c>
      <c r="K650" s="85">
        <f t="shared" si="158"/>
        <v>0</v>
      </c>
      <c r="L650" s="71"/>
      <c r="M650"/>
      <c r="N650"/>
      <c r="O650"/>
    </row>
    <row r="651" spans="2:15" ht="15.75" x14ac:dyDescent="0.25">
      <c r="B651" s="54">
        <f>IF(D651&lt;&gt;"",COUNTA($D$596:D651),"")</f>
        <v>51</v>
      </c>
      <c r="C651" s="54"/>
      <c r="D651" s="71" t="s">
        <v>92</v>
      </c>
      <c r="E651" s="71"/>
      <c r="F651" s="104"/>
      <c r="G651"/>
      <c r="H651" s="141">
        <v>7.35</v>
      </c>
      <c r="I651" s="142"/>
      <c r="J651" s="141">
        <v>7.35</v>
      </c>
      <c r="K651" s="81">
        <f>+J651-H651</f>
        <v>0</v>
      </c>
      <c r="L651" s="71"/>
      <c r="M651"/>
      <c r="N651"/>
      <c r="O651"/>
    </row>
    <row r="652" spans="2:15" ht="15.75" x14ac:dyDescent="0.25">
      <c r="B652" s="54">
        <f>IF(D652&lt;&gt;"",COUNTA($D$596:D652),"")</f>
        <v>52</v>
      </c>
      <c r="C652" s="54"/>
      <c r="D652" s="71" t="s">
        <v>73</v>
      </c>
      <c r="E652" s="71"/>
      <c r="F652" s="104"/>
      <c r="G652"/>
      <c r="H652" s="85">
        <v>0</v>
      </c>
      <c r="I652" s="85"/>
      <c r="J652" s="85">
        <v>0</v>
      </c>
      <c r="K652" s="85">
        <f t="shared" si="158"/>
        <v>0</v>
      </c>
      <c r="L652" s="71"/>
      <c r="M652"/>
      <c r="N652"/>
      <c r="O652"/>
    </row>
    <row r="653" spans="2:15" ht="15.75" x14ac:dyDescent="0.25">
      <c r="B653" s="54">
        <f>IF(D653&lt;&gt;"",COUNTA($D$596:D653),"")</f>
        <v>53</v>
      </c>
      <c r="C653" s="54"/>
      <c r="D653" s="71" t="s">
        <v>74</v>
      </c>
      <c r="E653" s="71"/>
      <c r="F653" s="104"/>
      <c r="G653"/>
      <c r="H653" s="85">
        <v>2.682E-2</v>
      </c>
      <c r="I653" s="85"/>
      <c r="J653" s="85">
        <v>3.4909999999999997E-2</v>
      </c>
      <c r="K653" s="85">
        <f t="shared" si="158"/>
        <v>8.0899999999999965E-3</v>
      </c>
      <c r="L653" s="71"/>
      <c r="M653"/>
      <c r="N653"/>
      <c r="O653"/>
    </row>
    <row r="654" spans="2:15" ht="15.75" x14ac:dyDescent="0.25">
      <c r="B654" s="54">
        <f>IF(D654&lt;&gt;"",COUNTA($D$596:D654),"")</f>
        <v>54</v>
      </c>
      <c r="C654" s="54"/>
      <c r="D654" s="71" t="s">
        <v>75</v>
      </c>
      <c r="E654" s="71"/>
      <c r="F654" s="104"/>
      <c r="G654"/>
      <c r="H654" s="85">
        <v>2.5000000000000001E-3</v>
      </c>
      <c r="I654" s="85"/>
      <c r="J654" s="85">
        <v>2.5000000000000001E-3</v>
      </c>
      <c r="K654" s="85">
        <f t="shared" si="158"/>
        <v>0</v>
      </c>
      <c r="L654" s="71"/>
      <c r="M654"/>
      <c r="N654"/>
      <c r="O654"/>
    </row>
    <row r="655" spans="2:15" ht="15.75" x14ac:dyDescent="0.25">
      <c r="B655" s="54">
        <f>IF(D655&lt;&gt;"",COUNTA($D$596:D655),"")</f>
        <v>55</v>
      </c>
      <c r="C655" s="54"/>
      <c r="D655" s="71" t="s">
        <v>76</v>
      </c>
      <c r="E655" s="71"/>
      <c r="F655" s="104"/>
      <c r="G655"/>
      <c r="H655" s="85">
        <v>5.0000000000000001E-4</v>
      </c>
      <c r="I655" s="85"/>
      <c r="J655" s="85">
        <v>5.0000000000000001E-4</v>
      </c>
      <c r="K655" s="85">
        <f t="shared" si="158"/>
        <v>0</v>
      </c>
      <c r="L655" s="71"/>
      <c r="M655"/>
      <c r="N655"/>
      <c r="O655"/>
    </row>
    <row r="656" spans="2:15" ht="15.75" x14ac:dyDescent="0.25">
      <c r="B656" s="54">
        <f>IF(D656&lt;&gt;"",COUNTA($D$596:D656),"")</f>
        <v>56</v>
      </c>
      <c r="C656" s="54"/>
      <c r="D656" s="71" t="s">
        <v>77</v>
      </c>
      <c r="E656" s="71"/>
      <c r="F656" s="104"/>
      <c r="G656"/>
      <c r="H656" s="85">
        <v>0.16466</v>
      </c>
      <c r="I656" s="85"/>
      <c r="J656" s="85">
        <v>0.16466</v>
      </c>
      <c r="K656" s="85">
        <f t="shared" si="158"/>
        <v>0</v>
      </c>
      <c r="L656" s="71"/>
      <c r="M656"/>
      <c r="N656"/>
      <c r="O656"/>
    </row>
    <row r="657" spans="2:15" ht="15.75" x14ac:dyDescent="0.25">
      <c r="B657" s="54"/>
      <c r="C657" s="54"/>
      <c r="D657" s="71"/>
      <c r="E657" s="71"/>
      <c r="F657" s="104"/>
      <c r="G657"/>
      <c r="H657" s="141"/>
      <c r="I657" s="142"/>
      <c r="J657" s="141"/>
      <c r="K657" s="85"/>
      <c r="L657" s="71"/>
      <c r="M657"/>
      <c r="N657"/>
      <c r="O657"/>
    </row>
    <row r="659" spans="2:15" ht="15.75" x14ac:dyDescent="0.25">
      <c r="B659" s="92" t="str">
        <f>$B$3</f>
        <v>Cape Light Compact JPE</v>
      </c>
      <c r="C659" s="92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</row>
    <row r="660" spans="2:15" ht="15.75" x14ac:dyDescent="0.25">
      <c r="B660" s="92" t="str">
        <f>$B$4</f>
        <v>Calculation of Monthly Typical Bill</v>
      </c>
      <c r="C660" s="92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</row>
    <row r="661" spans="2:15" ht="15.75" x14ac:dyDescent="0.25">
      <c r="B661" s="92" t="str">
        <f>$B$5</f>
        <v>Proposed January 1, 2027</v>
      </c>
      <c r="C661" s="92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</row>
    <row r="662" spans="2:15" ht="15.75" x14ac:dyDescent="0.25">
      <c r="B662" s="107"/>
      <c r="C662" s="107"/>
      <c r="D662" s="71"/>
      <c r="E662" s="71"/>
      <c r="F662" s="95"/>
      <c r="G662" s="96"/>
      <c r="H662" s="97"/>
      <c r="I662" s="71"/>
      <c r="J662" s="71"/>
      <c r="K662" s="71"/>
      <c r="L662" s="71"/>
      <c r="M662" s="71"/>
      <c r="N662" s="71"/>
      <c r="O662" s="71"/>
    </row>
    <row r="663" spans="2:15" ht="15.75" x14ac:dyDescent="0.25">
      <c r="B663" s="108" t="s">
        <v>34</v>
      </c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</row>
    <row r="664" spans="2:15" ht="15.75" x14ac:dyDescent="0.25">
      <c r="B664" s="98"/>
      <c r="C664" s="98"/>
      <c r="D664" s="109"/>
      <c r="E664" s="71"/>
      <c r="F664" s="71"/>
      <c r="G664" s="71"/>
      <c r="H664" s="128"/>
      <c r="I664" s="71"/>
      <c r="J664"/>
      <c r="K664"/>
      <c r="L664"/>
      <c r="M664"/>
      <c r="N664"/>
      <c r="O664"/>
    </row>
    <row r="665" spans="2:15" ht="15.75" x14ac:dyDescent="0.25">
      <c r="B665" s="98"/>
      <c r="C665" s="98"/>
      <c r="D665" s="71"/>
      <c r="E665" s="71"/>
      <c r="F665" s="71"/>
      <c r="G665" s="71"/>
      <c r="H665" s="99"/>
      <c r="I665" s="71"/>
      <c r="J665"/>
      <c r="K665"/>
      <c r="L665"/>
      <c r="M665"/>
      <c r="N665"/>
      <c r="O665"/>
    </row>
    <row r="666" spans="2:15" ht="15.75" x14ac:dyDescent="0.25">
      <c r="B666" s="54">
        <f>IF(D666&lt;&gt;"",COUNTA($D$666:D666),"")</f>
        <v>1</v>
      </c>
      <c r="C666" s="54"/>
      <c r="D666" s="98" t="s">
        <v>40</v>
      </c>
      <c r="E666" s="98" t="s">
        <v>40</v>
      </c>
      <c r="F666" s="56" t="str">
        <f>$F$10</f>
        <v>2026 In Effect</v>
      </c>
      <c r="G666" s="56"/>
      <c r="H666" s="56"/>
      <c r="I666" s="51"/>
      <c r="J666" s="56" t="str">
        <f>$J$10</f>
        <v>2027 Proposed</v>
      </c>
      <c r="K666" s="57"/>
      <c r="L666" s="57"/>
      <c r="M666"/>
      <c r="N666" s="57" t="str">
        <f>$N$10</f>
        <v>Total Bill Impact</v>
      </c>
      <c r="O666" s="57"/>
    </row>
    <row r="667" spans="2:15" ht="15.75" x14ac:dyDescent="0.25">
      <c r="B667" s="54">
        <f>IF(D667&lt;&gt;"",COUNTA($D$666:D667),"")</f>
        <v>2</v>
      </c>
      <c r="C667" s="54"/>
      <c r="D667" s="110" t="s">
        <v>89</v>
      </c>
      <c r="E667" s="110" t="s">
        <v>42</v>
      </c>
      <c r="F667" s="110" t="s">
        <v>43</v>
      </c>
      <c r="G667" s="110" t="s">
        <v>44</v>
      </c>
      <c r="H667" s="110" t="s">
        <v>45</v>
      </c>
      <c r="I667" s="71"/>
      <c r="J667" s="110" t="s">
        <v>43</v>
      </c>
      <c r="K667" s="110" t="s">
        <v>44</v>
      </c>
      <c r="L667" s="110" t="s">
        <v>45</v>
      </c>
      <c r="M667"/>
      <c r="N667" s="110" t="s">
        <v>46</v>
      </c>
      <c r="O667" s="110" t="s">
        <v>10</v>
      </c>
    </row>
    <row r="668" spans="2:15" ht="15.75" x14ac:dyDescent="0.25">
      <c r="B668" s="54" t="str">
        <f>IF(D668&lt;&gt;"",COUNTA($D$666:D668),"")</f>
        <v/>
      </c>
      <c r="C668" s="54"/>
      <c r="D668" s="110"/>
      <c r="E668" s="110"/>
      <c r="F668" s="110"/>
      <c r="G668" s="110"/>
      <c r="H668" s="110"/>
      <c r="I668" s="71"/>
      <c r="J668" s="110"/>
      <c r="K668" s="110"/>
      <c r="L668" s="110"/>
      <c r="M668"/>
      <c r="N668" s="110"/>
      <c r="O668" s="110"/>
    </row>
    <row r="669" spans="2:15" ht="15.75" x14ac:dyDescent="0.25">
      <c r="B669" s="54">
        <f>IF(D669&lt;&gt;"",COUNTA($D$666:D669),"")</f>
        <v>3</v>
      </c>
      <c r="C669" s="54"/>
      <c r="D669" s="98" t="s">
        <v>90</v>
      </c>
      <c r="E669" s="98">
        <v>260</v>
      </c>
      <c r="F669" s="110"/>
      <c r="G669" s="110"/>
      <c r="H669" s="110"/>
      <c r="I669" s="71"/>
      <c r="J669" s="110"/>
      <c r="K669" s="110"/>
      <c r="L669" s="110"/>
      <c r="M669"/>
      <c r="N669" s="110"/>
      <c r="O669" s="110"/>
    </row>
    <row r="670" spans="2:15" x14ac:dyDescent="0.2">
      <c r="B670" s="54">
        <f>IF(D670&lt;&gt;"",COUNTA($D$666:D670),"")</f>
        <v>4</v>
      </c>
      <c r="C670" s="54"/>
      <c r="D670" s="113">
        <v>1</v>
      </c>
      <c r="E670" s="100">
        <v>260</v>
      </c>
      <c r="F670" s="101">
        <f t="shared" ref="F670:F675" si="159">$H$696+$D670*SUM($H$697)+$E670*(SUM($H$698,$H$700:$H$725)*$F$728)+SUM($H$699:$H$725)*$E670*$F$729</f>
        <v>58.482700000000001</v>
      </c>
      <c r="G670" s="136">
        <f t="shared" ref="G670:G675" si="160">ROUND($H$726*$E670,2)</f>
        <v>42.81</v>
      </c>
      <c r="H670" s="101">
        <f t="shared" ref="H670:H675" si="161">SUM(F670:G670)</f>
        <v>101.2927</v>
      </c>
      <c r="I670" s="102"/>
      <c r="J670" s="101">
        <f t="shared" ref="J670:J675" si="162">$J$696+$D670*SUM($J$697)+$E670*(SUM($J$698,$J$700:$J$725)*$F$728)+SUM($J$699:$J$725)*$E670*$F$729</f>
        <v>60.586100000000002</v>
      </c>
      <c r="K670" s="136">
        <f t="shared" ref="K670:K675" si="163">ROUND($J$726*$E670,2)</f>
        <v>42.81</v>
      </c>
      <c r="L670" s="101">
        <f t="shared" ref="L670:L675" si="164">SUM(J670:K670)</f>
        <v>103.3961</v>
      </c>
      <c r="M670" s="102"/>
      <c r="N670" s="101">
        <f t="shared" ref="N670:N675" si="165">+L670-H670</f>
        <v>2.1034000000000077</v>
      </c>
      <c r="O670" s="137">
        <f t="shared" ref="O670:O675" si="166">+N670/H670</f>
        <v>2.0765563559861745E-2</v>
      </c>
    </row>
    <row r="671" spans="2:15" x14ac:dyDescent="0.2">
      <c r="B671" s="54">
        <f>IF(D671&lt;&gt;"",COUNTA($D$666:D671),"")</f>
        <v>5</v>
      </c>
      <c r="C671" s="54"/>
      <c r="D671" s="113">
        <v>2</v>
      </c>
      <c r="E671" s="100">
        <v>520</v>
      </c>
      <c r="F671" s="101">
        <f t="shared" si="159"/>
        <v>96.965400000000002</v>
      </c>
      <c r="G671" s="136">
        <f t="shared" si="160"/>
        <v>85.62</v>
      </c>
      <c r="H671" s="101">
        <f t="shared" si="161"/>
        <v>182.58539999999999</v>
      </c>
      <c r="I671" s="102"/>
      <c r="J671" s="101">
        <f t="shared" si="162"/>
        <v>101.1722</v>
      </c>
      <c r="K671" s="136">
        <f t="shared" si="163"/>
        <v>85.62</v>
      </c>
      <c r="L671" s="101">
        <f t="shared" si="164"/>
        <v>186.79220000000001</v>
      </c>
      <c r="M671" s="102"/>
      <c r="N671" s="101">
        <f t="shared" si="165"/>
        <v>4.2068000000000154</v>
      </c>
      <c r="O671" s="137">
        <f t="shared" si="166"/>
        <v>2.3040177363578992E-2</v>
      </c>
    </row>
    <row r="672" spans="2:15" x14ac:dyDescent="0.2">
      <c r="B672" s="54">
        <f>IF(D672&lt;&gt;"",COUNTA($D$666:D672),"")</f>
        <v>6</v>
      </c>
      <c r="C672" s="54"/>
      <c r="D672" s="113">
        <v>3</v>
      </c>
      <c r="E672" s="100">
        <v>780</v>
      </c>
      <c r="F672" s="101">
        <f t="shared" si="159"/>
        <v>135.44809999999998</v>
      </c>
      <c r="G672" s="136">
        <f t="shared" si="160"/>
        <v>128.43</v>
      </c>
      <c r="H672" s="101">
        <f t="shared" si="161"/>
        <v>263.87810000000002</v>
      </c>
      <c r="I672" s="102"/>
      <c r="J672" s="101">
        <f t="shared" si="162"/>
        <v>141.75830000000002</v>
      </c>
      <c r="K672" s="136">
        <f t="shared" si="163"/>
        <v>128.43</v>
      </c>
      <c r="L672" s="101">
        <f t="shared" si="164"/>
        <v>270.18830000000003</v>
      </c>
      <c r="M672" s="102"/>
      <c r="N672" s="101">
        <f t="shared" si="165"/>
        <v>6.3102000000000089</v>
      </c>
      <c r="O672" s="137">
        <f t="shared" si="166"/>
        <v>2.3913314519090477E-2</v>
      </c>
    </row>
    <row r="673" spans="2:17" x14ac:dyDescent="0.2">
      <c r="B673" s="54">
        <f>IF(D673&lt;&gt;"",COUNTA($D$666:D673),"")</f>
        <v>7</v>
      </c>
      <c r="C673" s="54"/>
      <c r="D673" s="113">
        <v>5</v>
      </c>
      <c r="E673" s="100">
        <v>1300</v>
      </c>
      <c r="F673" s="101">
        <f t="shared" si="159"/>
        <v>212.4135</v>
      </c>
      <c r="G673" s="136">
        <f t="shared" si="160"/>
        <v>214.06</v>
      </c>
      <c r="H673" s="101">
        <f t="shared" si="161"/>
        <v>426.4735</v>
      </c>
      <c r="I673" s="102"/>
      <c r="J673" s="101">
        <f t="shared" si="162"/>
        <v>222.93049999999999</v>
      </c>
      <c r="K673" s="136">
        <f t="shared" si="163"/>
        <v>214.06</v>
      </c>
      <c r="L673" s="101">
        <f t="shared" si="164"/>
        <v>436.9905</v>
      </c>
      <c r="M673" s="102"/>
      <c r="N673" s="101">
        <f t="shared" si="165"/>
        <v>10.516999999999996</v>
      </c>
      <c r="O673" s="137">
        <f t="shared" si="166"/>
        <v>2.4660383353244681E-2</v>
      </c>
    </row>
    <row r="674" spans="2:17" x14ac:dyDescent="0.2">
      <c r="B674" s="54">
        <f>IF(D674&lt;&gt;"",COUNTA($D$666:D674),"")</f>
        <v>8</v>
      </c>
      <c r="C674" s="54"/>
      <c r="D674" s="100">
        <v>10</v>
      </c>
      <c r="E674" s="100">
        <v>2600</v>
      </c>
      <c r="F674" s="101">
        <f t="shared" si="159"/>
        <v>404.827</v>
      </c>
      <c r="G674" s="136">
        <f t="shared" si="160"/>
        <v>428.12</v>
      </c>
      <c r="H674" s="101">
        <f t="shared" si="161"/>
        <v>832.947</v>
      </c>
      <c r="I674" s="102"/>
      <c r="J674" s="101">
        <f t="shared" si="162"/>
        <v>425.86099999999999</v>
      </c>
      <c r="K674" s="136">
        <f t="shared" si="163"/>
        <v>428.12</v>
      </c>
      <c r="L674" s="101">
        <f t="shared" si="164"/>
        <v>853.98099999999999</v>
      </c>
      <c r="M674" s="102"/>
      <c r="N674" s="101">
        <f t="shared" si="165"/>
        <v>21.033999999999992</v>
      </c>
      <c r="O674" s="137">
        <f t="shared" si="166"/>
        <v>2.5252507062274061E-2</v>
      </c>
    </row>
    <row r="675" spans="2:17" x14ac:dyDescent="0.2">
      <c r="B675" s="54">
        <f>IF(D675&lt;&gt;"",COUNTA($D$666:D675),"")</f>
        <v>9</v>
      </c>
      <c r="C675" s="54" t="s">
        <v>47</v>
      </c>
      <c r="D675" s="100">
        <v>9</v>
      </c>
      <c r="E675" s="100">
        <v>2340</v>
      </c>
      <c r="F675" s="101">
        <f t="shared" si="159"/>
        <v>366.34430000000003</v>
      </c>
      <c r="G675" s="136">
        <f t="shared" si="160"/>
        <v>385.3</v>
      </c>
      <c r="H675" s="101">
        <f t="shared" si="161"/>
        <v>751.64430000000004</v>
      </c>
      <c r="I675" s="102"/>
      <c r="J675" s="101">
        <f t="shared" si="162"/>
        <v>385.2749</v>
      </c>
      <c r="K675" s="136">
        <f t="shared" si="163"/>
        <v>385.3</v>
      </c>
      <c r="L675" s="101">
        <f t="shared" si="164"/>
        <v>770.57490000000007</v>
      </c>
      <c r="M675" s="102"/>
      <c r="N675" s="101">
        <f t="shared" si="165"/>
        <v>18.930600000000027</v>
      </c>
      <c r="O675" s="137">
        <f t="shared" si="166"/>
        <v>2.5185583127551189E-2</v>
      </c>
    </row>
    <row r="676" spans="2:17" ht="15.75" x14ac:dyDescent="0.25">
      <c r="B676" s="54" t="str">
        <f>IF(D676&lt;&gt;"",COUNTA($D$666:D676),"")</f>
        <v/>
      </c>
      <c r="C676" s="54"/>
      <c r="D676" s="117"/>
      <c r="E676" s="117"/>
      <c r="F676" s="119"/>
      <c r="G676" s="119"/>
      <c r="H676" s="119"/>
      <c r="I676" s="120"/>
      <c r="J676" s="119"/>
      <c r="K676" s="119"/>
      <c r="L676" s="119"/>
      <c r="M676" s="120"/>
      <c r="N676" s="119"/>
      <c r="O676" s="138"/>
    </row>
    <row r="677" spans="2:17" x14ac:dyDescent="0.2">
      <c r="B677" s="54">
        <f>IF(D677&lt;&gt;"",COUNTA($D$666:D677),"")</f>
        <v>10</v>
      </c>
      <c r="C677" s="54"/>
      <c r="D677" s="98" t="s">
        <v>90</v>
      </c>
      <c r="E677" s="98">
        <v>495</v>
      </c>
      <c r="F677" s="102"/>
      <c r="G677" s="102"/>
      <c r="H677" s="102"/>
      <c r="I677" s="102"/>
      <c r="J677" s="102"/>
      <c r="K677" s="102"/>
      <c r="L677" s="102"/>
      <c r="M677" s="102"/>
      <c r="N677" s="102"/>
      <c r="O677" s="71"/>
    </row>
    <row r="678" spans="2:17" x14ac:dyDescent="0.2">
      <c r="B678" s="54">
        <f>IF(D678&lt;&gt;"",COUNTA($D$666:D678),"")</f>
        <v>11</v>
      </c>
      <c r="C678" s="54"/>
      <c r="D678" s="100">
        <v>1</v>
      </c>
      <c r="E678" s="100">
        <v>495</v>
      </c>
      <c r="F678" s="101">
        <f t="shared" ref="F678:F683" si="167">$H$696+$D678*SUM($H$697)+$E678*(SUM($H$698,$H$700:$H$725)*$F$728)+SUM($H$699:$H$725)*$E678*$F$729</f>
        <v>89.008025000000004</v>
      </c>
      <c r="G678" s="136">
        <f t="shared" ref="G678:G683" si="168">ROUND($H$726*$E678,2)</f>
        <v>81.510000000000005</v>
      </c>
      <c r="H678" s="101">
        <f t="shared" ref="H678:H683" si="169">SUM(F678:G678)</f>
        <v>170.51802500000002</v>
      </c>
      <c r="I678" s="102"/>
      <c r="J678" s="101">
        <f t="shared" ref="J678:J683" si="170">$J$696+$D678*SUM($J$697)+$E678*(SUM($J$698,$J$700:$J$725)*$F$728)+SUM($J$699:$J$725)*$E678*$F$729</f>
        <v>93.012574999999998</v>
      </c>
      <c r="K678" s="136">
        <f t="shared" ref="K678:K683" si="171">ROUND($J$726*$E678,2)</f>
        <v>81.510000000000005</v>
      </c>
      <c r="L678" s="101">
        <f t="shared" ref="L678:L683" si="172">SUM(J678:K678)</f>
        <v>174.52257500000002</v>
      </c>
      <c r="M678" s="102"/>
      <c r="N678" s="101">
        <f t="shared" ref="N678:N683" si="173">+L678-H678</f>
        <v>4.0045499999999947</v>
      </c>
      <c r="O678" s="137">
        <f t="shared" ref="O678:O683" si="174">+N678/H678</f>
        <v>2.3484614016611994E-2</v>
      </c>
    </row>
    <row r="679" spans="2:17" x14ac:dyDescent="0.2">
      <c r="B679" s="54">
        <f>IF(D679&lt;&gt;"",COUNTA($D$666:D679),"")</f>
        <v>12</v>
      </c>
      <c r="C679" s="54"/>
      <c r="D679" s="100">
        <v>2</v>
      </c>
      <c r="E679" s="100">
        <v>990</v>
      </c>
      <c r="F679" s="101">
        <f t="shared" si="167"/>
        <v>158.01605000000001</v>
      </c>
      <c r="G679" s="136">
        <f t="shared" si="168"/>
        <v>163.01</v>
      </c>
      <c r="H679" s="101">
        <f t="shared" si="169"/>
        <v>321.02605</v>
      </c>
      <c r="I679" s="102"/>
      <c r="J679" s="101">
        <f t="shared" si="170"/>
        <v>166.02515</v>
      </c>
      <c r="K679" s="136">
        <f t="shared" si="171"/>
        <v>163.01</v>
      </c>
      <c r="L679" s="101">
        <f t="shared" si="172"/>
        <v>329.03514999999999</v>
      </c>
      <c r="M679" s="102"/>
      <c r="N679" s="101">
        <f t="shared" si="173"/>
        <v>8.0090999999999894</v>
      </c>
      <c r="O679" s="137">
        <f t="shared" si="174"/>
        <v>2.494844265753508E-2</v>
      </c>
    </row>
    <row r="680" spans="2:17" x14ac:dyDescent="0.2">
      <c r="B680" s="54">
        <f>IF(D680&lt;&gt;"",COUNTA($D$666:D680),"")</f>
        <v>13</v>
      </c>
      <c r="C680" s="54"/>
      <c r="D680" s="100">
        <v>3</v>
      </c>
      <c r="E680" s="100">
        <v>1485</v>
      </c>
      <c r="F680" s="101">
        <f t="shared" si="167"/>
        <v>227.02407499999998</v>
      </c>
      <c r="G680" s="136">
        <f t="shared" si="168"/>
        <v>244.52</v>
      </c>
      <c r="H680" s="101">
        <f t="shared" si="169"/>
        <v>471.54407500000002</v>
      </c>
      <c r="I680" s="102"/>
      <c r="J680" s="101">
        <f t="shared" si="170"/>
        <v>239.03772500000002</v>
      </c>
      <c r="K680" s="136">
        <f t="shared" si="171"/>
        <v>244.52</v>
      </c>
      <c r="L680" s="101">
        <f t="shared" si="172"/>
        <v>483.557725</v>
      </c>
      <c r="M680" s="102"/>
      <c r="N680" s="101">
        <f t="shared" si="173"/>
        <v>12.013649999999984</v>
      </c>
      <c r="O680" s="137">
        <f t="shared" si="174"/>
        <v>2.5477257878810129E-2</v>
      </c>
    </row>
    <row r="681" spans="2:17" x14ac:dyDescent="0.2">
      <c r="B681" s="54">
        <f>IF(D681&lt;&gt;"",COUNTA($D$666:D681),"")</f>
        <v>14</v>
      </c>
      <c r="C681" s="54"/>
      <c r="D681" s="100">
        <v>5</v>
      </c>
      <c r="E681" s="100">
        <v>2475</v>
      </c>
      <c r="F681" s="101">
        <f t="shared" si="167"/>
        <v>365.04012499999999</v>
      </c>
      <c r="G681" s="136">
        <f t="shared" si="168"/>
        <v>407.53</v>
      </c>
      <c r="H681" s="101">
        <f t="shared" si="169"/>
        <v>772.57012499999996</v>
      </c>
      <c r="I681" s="102"/>
      <c r="J681" s="101">
        <f t="shared" si="170"/>
        <v>385.06287500000002</v>
      </c>
      <c r="K681" s="136">
        <f t="shared" si="171"/>
        <v>407.53</v>
      </c>
      <c r="L681" s="101">
        <f t="shared" si="172"/>
        <v>792.59287500000005</v>
      </c>
      <c r="M681" s="102"/>
      <c r="N681" s="101">
        <f t="shared" si="173"/>
        <v>20.022750000000087</v>
      </c>
      <c r="O681" s="137">
        <f t="shared" si="174"/>
        <v>2.5917064810136281E-2</v>
      </c>
    </row>
    <row r="682" spans="2:17" x14ac:dyDescent="0.2">
      <c r="B682" s="54">
        <f>IF(D682&lt;&gt;"",COUNTA($D$666:D682),"")</f>
        <v>15</v>
      </c>
      <c r="C682" s="54"/>
      <c r="D682" s="100">
        <v>10</v>
      </c>
      <c r="E682" s="100">
        <v>4950</v>
      </c>
      <c r="F682" s="101">
        <f t="shared" si="167"/>
        <v>710.08024999999998</v>
      </c>
      <c r="G682" s="136">
        <f t="shared" si="168"/>
        <v>815.07</v>
      </c>
      <c r="H682" s="101">
        <f t="shared" si="169"/>
        <v>1525.1502500000001</v>
      </c>
      <c r="I682" s="102"/>
      <c r="J682" s="101">
        <f t="shared" si="170"/>
        <v>750.12575000000004</v>
      </c>
      <c r="K682" s="136">
        <f t="shared" si="171"/>
        <v>815.07</v>
      </c>
      <c r="L682" s="101">
        <f t="shared" si="172"/>
        <v>1565.1957500000001</v>
      </c>
      <c r="M682" s="102"/>
      <c r="N682" s="101">
        <f t="shared" si="173"/>
        <v>40.045499999999947</v>
      </c>
      <c r="O682" s="137">
        <f t="shared" si="174"/>
        <v>2.6256757326040464E-2</v>
      </c>
      <c r="Q682" s="46" t="s">
        <v>27</v>
      </c>
    </row>
    <row r="683" spans="2:17" x14ac:dyDescent="0.2">
      <c r="B683" s="54">
        <f>IF(D683&lt;&gt;"",COUNTA($D$666:D683),"")</f>
        <v>16</v>
      </c>
      <c r="C683" s="54" t="s">
        <v>47</v>
      </c>
      <c r="D683" s="100">
        <v>6</v>
      </c>
      <c r="E683" s="100">
        <v>2970</v>
      </c>
      <c r="F683" s="101">
        <f t="shared" si="167"/>
        <v>434.04814999999996</v>
      </c>
      <c r="G683" s="136">
        <f t="shared" si="168"/>
        <v>489.04</v>
      </c>
      <c r="H683" s="101">
        <f t="shared" si="169"/>
        <v>923.08815000000004</v>
      </c>
      <c r="I683" s="102"/>
      <c r="J683" s="101">
        <f t="shared" si="170"/>
        <v>458.07545000000005</v>
      </c>
      <c r="K683" s="136">
        <f t="shared" si="171"/>
        <v>489.04</v>
      </c>
      <c r="L683" s="101">
        <f t="shared" si="172"/>
        <v>947.11545000000001</v>
      </c>
      <c r="M683" s="102"/>
      <c r="N683" s="101">
        <f t="shared" si="173"/>
        <v>24.027299999999968</v>
      </c>
      <c r="O683" s="137">
        <f t="shared" si="174"/>
        <v>2.6029258419144441E-2</v>
      </c>
    </row>
    <row r="684" spans="2:17" ht="15.75" x14ac:dyDescent="0.25">
      <c r="B684" s="54" t="str">
        <f>IF(D684&lt;&gt;"",COUNTA($D$666:D684),"")</f>
        <v/>
      </c>
      <c r="C684" s="54"/>
      <c r="D684" s="117"/>
      <c r="E684" s="117"/>
      <c r="F684" s="119"/>
      <c r="G684" s="119"/>
      <c r="H684" s="119"/>
      <c r="I684" s="120"/>
      <c r="J684" s="119"/>
      <c r="K684" s="119"/>
      <c r="L684" s="119"/>
      <c r="M684" s="120"/>
      <c r="N684" s="119"/>
      <c r="O684" s="138"/>
    </row>
    <row r="685" spans="2:17" x14ac:dyDescent="0.2">
      <c r="B685" s="54">
        <f>IF(D685&lt;&gt;"",COUNTA($D$666:D685),"")</f>
        <v>17</v>
      </c>
      <c r="C685" s="54"/>
      <c r="D685" s="98" t="s">
        <v>90</v>
      </c>
      <c r="E685" s="98">
        <v>625</v>
      </c>
      <c r="F685" s="102"/>
      <c r="G685" s="102"/>
      <c r="H685" s="102"/>
      <c r="I685" s="102"/>
      <c r="J685" s="102"/>
      <c r="K685" s="102"/>
      <c r="L685" s="102"/>
      <c r="M685" s="102"/>
      <c r="N685" s="102"/>
      <c r="O685" s="71"/>
    </row>
    <row r="686" spans="2:17" x14ac:dyDescent="0.2">
      <c r="B686" s="54">
        <f>IF(D686&lt;&gt;"",COUNTA($D$666:D686),"")</f>
        <v>18</v>
      </c>
      <c r="C686" s="54"/>
      <c r="D686" s="100">
        <v>1</v>
      </c>
      <c r="E686" s="100">
        <v>625</v>
      </c>
      <c r="F686" s="101">
        <f t="shared" ref="F686:F691" si="175">$H$696+$D686*SUM($H$697)+$E686*(SUM($H$698,$H$700:$H$725)*$F$728)+SUM($H$699:$H$725)*$E686*$F$729</f>
        <v>105.89437500000001</v>
      </c>
      <c r="G686" s="136">
        <f t="shared" ref="G686:G691" si="176">ROUND($H$726*$E686,2)</f>
        <v>102.91</v>
      </c>
      <c r="H686" s="101">
        <f t="shared" ref="H686:H691" si="177">SUM(F686:G686)</f>
        <v>208.80437499999999</v>
      </c>
      <c r="I686" s="102"/>
      <c r="J686" s="101">
        <f t="shared" ref="J686:J691" si="178">$J$696+$D686*SUM($J$697)+$E686*(SUM($J$698,$J$700:$J$725)*$F$728)+SUM($J$699:$J$725)*$E686*$F$729</f>
        <v>110.950625</v>
      </c>
      <c r="K686" s="136">
        <f t="shared" ref="K686:K691" si="179">ROUND($J$726*$E686,2)</f>
        <v>102.91</v>
      </c>
      <c r="L686" s="101">
        <f t="shared" ref="L686:L691" si="180">SUM(J686:K686)</f>
        <v>213.860625</v>
      </c>
      <c r="M686" s="102"/>
      <c r="N686" s="101">
        <f t="shared" ref="N686:N691" si="181">+L686-H686</f>
        <v>5.0562500000000057</v>
      </c>
      <c r="O686" s="137">
        <f t="shared" ref="O686:O691" si="182">+N686/H686</f>
        <v>2.4215249321284604E-2</v>
      </c>
    </row>
    <row r="687" spans="2:17" x14ac:dyDescent="0.2">
      <c r="B687" s="54">
        <f>IF(D687&lt;&gt;"",COUNTA($D$666:D687),"")</f>
        <v>19</v>
      </c>
      <c r="C687" s="54"/>
      <c r="D687" s="100">
        <v>2</v>
      </c>
      <c r="E687" s="100">
        <v>1250</v>
      </c>
      <c r="F687" s="101">
        <f t="shared" si="175"/>
        <v>191.78875000000002</v>
      </c>
      <c r="G687" s="136">
        <f t="shared" si="176"/>
        <v>205.83</v>
      </c>
      <c r="H687" s="101">
        <f t="shared" si="177"/>
        <v>397.61875000000003</v>
      </c>
      <c r="I687" s="102"/>
      <c r="J687" s="101">
        <f t="shared" si="178"/>
        <v>201.90125</v>
      </c>
      <c r="K687" s="136">
        <f t="shared" si="179"/>
        <v>205.83</v>
      </c>
      <c r="L687" s="101">
        <f t="shared" si="180"/>
        <v>407.73125000000005</v>
      </c>
      <c r="M687" s="102"/>
      <c r="N687" s="101">
        <f t="shared" si="181"/>
        <v>10.112500000000011</v>
      </c>
      <c r="O687" s="137">
        <f t="shared" si="182"/>
        <v>2.5432653766956439E-2</v>
      </c>
    </row>
    <row r="688" spans="2:17" x14ac:dyDescent="0.2">
      <c r="B688" s="54">
        <f>IF(D688&lt;&gt;"",COUNTA($D$666:D688),"")</f>
        <v>20</v>
      </c>
      <c r="C688" s="54"/>
      <c r="D688" s="100">
        <v>3</v>
      </c>
      <c r="E688" s="100">
        <v>1875</v>
      </c>
      <c r="F688" s="101">
        <f t="shared" si="175"/>
        <v>277.68312500000002</v>
      </c>
      <c r="G688" s="136">
        <f t="shared" si="176"/>
        <v>308.74</v>
      </c>
      <c r="H688" s="101">
        <f t="shared" si="177"/>
        <v>586.42312500000003</v>
      </c>
      <c r="I688" s="102"/>
      <c r="J688" s="101">
        <f t="shared" si="178"/>
        <v>292.85187500000001</v>
      </c>
      <c r="K688" s="136">
        <f t="shared" si="179"/>
        <v>308.74</v>
      </c>
      <c r="L688" s="101">
        <f t="shared" si="180"/>
        <v>601.59187500000007</v>
      </c>
      <c r="M688" s="102"/>
      <c r="N688" s="101">
        <f t="shared" si="181"/>
        <v>15.168750000000045</v>
      </c>
      <c r="O688" s="137">
        <f t="shared" si="182"/>
        <v>2.5866561793585551E-2</v>
      </c>
    </row>
    <row r="689" spans="2:15" x14ac:dyDescent="0.2">
      <c r="B689" s="54">
        <f>IF(D689&lt;&gt;"",COUNTA($D$666:D689),"")</f>
        <v>21</v>
      </c>
      <c r="C689" s="54"/>
      <c r="D689" s="100">
        <v>5</v>
      </c>
      <c r="E689" s="100">
        <v>3125</v>
      </c>
      <c r="F689" s="101">
        <f t="shared" si="175"/>
        <v>449.47187500000001</v>
      </c>
      <c r="G689" s="136">
        <f t="shared" si="176"/>
        <v>514.55999999999995</v>
      </c>
      <c r="H689" s="101">
        <f t="shared" si="177"/>
        <v>964.0318749999999</v>
      </c>
      <c r="I689" s="102"/>
      <c r="J689" s="101">
        <f t="shared" si="178"/>
        <v>474.75312500000007</v>
      </c>
      <c r="K689" s="136">
        <f t="shared" si="179"/>
        <v>514.55999999999995</v>
      </c>
      <c r="L689" s="101">
        <f t="shared" si="180"/>
        <v>989.31312500000001</v>
      </c>
      <c r="M689" s="102"/>
      <c r="N689" s="101">
        <f t="shared" si="181"/>
        <v>25.281250000000114</v>
      </c>
      <c r="O689" s="137">
        <f t="shared" si="182"/>
        <v>2.6224495948331705E-2</v>
      </c>
    </row>
    <row r="690" spans="2:15" x14ac:dyDescent="0.2">
      <c r="B690" s="54">
        <f>IF(D690&lt;&gt;"",COUNTA($D$666:D690),"")</f>
        <v>22</v>
      </c>
      <c r="C690" s="54"/>
      <c r="D690" s="100">
        <v>10</v>
      </c>
      <c r="E690" s="100">
        <v>6250</v>
      </c>
      <c r="F690" s="101">
        <f t="shared" si="175"/>
        <v>878.94375000000002</v>
      </c>
      <c r="G690" s="136">
        <f t="shared" si="176"/>
        <v>1029.1300000000001</v>
      </c>
      <c r="H690" s="101">
        <f t="shared" si="177"/>
        <v>1908.07375</v>
      </c>
      <c r="I690" s="102"/>
      <c r="J690" s="101">
        <f t="shared" si="178"/>
        <v>929.50625000000014</v>
      </c>
      <c r="K690" s="136">
        <f t="shared" si="179"/>
        <v>1029.1300000000001</v>
      </c>
      <c r="L690" s="101">
        <f t="shared" si="180"/>
        <v>1958.6362500000002</v>
      </c>
      <c r="M690" s="102"/>
      <c r="N690" s="101">
        <f t="shared" si="181"/>
        <v>50.562500000000227</v>
      </c>
      <c r="O690" s="137">
        <f t="shared" si="182"/>
        <v>2.6499237778414082E-2</v>
      </c>
    </row>
    <row r="691" spans="2:15" x14ac:dyDescent="0.2">
      <c r="B691" s="54">
        <f>IF(D691&lt;&gt;"",COUNTA($D$666:D691),"")</f>
        <v>23</v>
      </c>
      <c r="C691" s="54" t="s">
        <v>47</v>
      </c>
      <c r="D691" s="100">
        <v>7</v>
      </c>
      <c r="E691" s="100">
        <v>4375</v>
      </c>
      <c r="F691" s="101">
        <f t="shared" si="175"/>
        <v>621.260625</v>
      </c>
      <c r="G691" s="136">
        <f t="shared" si="176"/>
        <v>720.39</v>
      </c>
      <c r="H691" s="101">
        <f t="shared" si="177"/>
        <v>1341.650625</v>
      </c>
      <c r="I691" s="102"/>
      <c r="J691" s="101">
        <f t="shared" si="178"/>
        <v>656.65437500000007</v>
      </c>
      <c r="K691" s="136">
        <f t="shared" si="179"/>
        <v>720.39</v>
      </c>
      <c r="L691" s="101">
        <f t="shared" si="180"/>
        <v>1377.0443749999999</v>
      </c>
      <c r="M691" s="102"/>
      <c r="N691" s="101">
        <f t="shared" si="181"/>
        <v>35.393749999999955</v>
      </c>
      <c r="O691" s="137">
        <f t="shared" si="182"/>
        <v>2.6380750204621977E-2</v>
      </c>
    </row>
    <row r="692" spans="2:15" ht="15.75" x14ac:dyDescent="0.25">
      <c r="B692" s="54" t="str">
        <f>IF(D692&lt;&gt;"",COUNTA($D$666:D692),"")</f>
        <v/>
      </c>
      <c r="C692" s="54"/>
      <c r="D692" s="122"/>
      <c r="E692" s="122"/>
      <c r="F692" s="119"/>
      <c r="G692" s="119"/>
      <c r="H692" s="119"/>
      <c r="I692" s="120"/>
      <c r="J692" s="119"/>
      <c r="K692" s="119"/>
      <c r="L692" s="119"/>
      <c r="M692" s="120"/>
      <c r="N692" s="119"/>
      <c r="O692" s="138"/>
    </row>
    <row r="693" spans="2:15" ht="15.75" x14ac:dyDescent="0.25">
      <c r="B693" s="54" t="str">
        <f>IF(D693&lt;&gt;"",COUNTA($D$666:D693),"")</f>
        <v/>
      </c>
      <c r="C693" s="54"/>
      <c r="D693" s="122"/>
      <c r="E693" s="122"/>
      <c r="F693" s="119"/>
      <c r="G693" s="119"/>
      <c r="H693" s="129"/>
      <c r="I693" s="130"/>
      <c r="J693" s="119"/>
      <c r="K693" s="119"/>
      <c r="L693" s="119"/>
      <c r="M693" s="131"/>
      <c r="N693" s="129"/>
      <c r="O693" s="138"/>
    </row>
    <row r="694" spans="2:15" ht="15.75" x14ac:dyDescent="0.25">
      <c r="B694" s="54">
        <f>IF(D694&lt;&gt;"",COUNTA($D$666:D694),"")</f>
        <v>24</v>
      </c>
      <c r="C694" s="54"/>
      <c r="D694" s="71" t="s">
        <v>27</v>
      </c>
      <c r="E694" s="71"/>
      <c r="F694" s="71"/>
      <c r="G694"/>
      <c r="H694" s="139" t="str">
        <f>$G$28</f>
        <v>2026 In Effect</v>
      </c>
      <c r="J694" s="139" t="str">
        <f>$H$28</f>
        <v>2027 Proposed</v>
      </c>
      <c r="K694" s="102"/>
      <c r="L694" s="71"/>
      <c r="M694"/>
      <c r="N694"/>
      <c r="O694"/>
    </row>
    <row r="695" spans="2:15" ht="17.25" x14ac:dyDescent="0.35">
      <c r="B695" s="54">
        <f>IF(D695&lt;&gt;"",COUNTA($D$666:D695),"")</f>
        <v>25</v>
      </c>
      <c r="C695" s="54"/>
      <c r="D695" s="104" t="s">
        <v>27</v>
      </c>
      <c r="E695" s="104"/>
      <c r="F695" s="71"/>
      <c r="G695"/>
      <c r="H695" s="140" t="s">
        <v>48</v>
      </c>
      <c r="I695" s="140"/>
      <c r="J695" s="140" t="s">
        <v>48</v>
      </c>
      <c r="K695" s="140" t="s">
        <v>46</v>
      </c>
      <c r="L695" s="71"/>
      <c r="M695"/>
      <c r="N695"/>
      <c r="O695"/>
    </row>
    <row r="696" spans="2:15" ht="15.75" x14ac:dyDescent="0.25">
      <c r="B696" s="54">
        <f>IF(D696&lt;&gt;"",COUNTA($D$666:D696),"")</f>
        <v>26</v>
      </c>
      <c r="C696" s="54"/>
      <c r="D696" s="71" t="s">
        <v>49</v>
      </c>
      <c r="E696" s="71"/>
      <c r="F696" s="104"/>
      <c r="G696"/>
      <c r="H696" s="141">
        <v>20</v>
      </c>
      <c r="I696" s="142"/>
      <c r="J696" s="141">
        <v>20</v>
      </c>
      <c r="K696" s="81">
        <f t="shared" ref="K696:K726" si="183">+J696-H696</f>
        <v>0</v>
      </c>
      <c r="L696" s="71"/>
      <c r="M696"/>
      <c r="N696"/>
      <c r="O696" t="s">
        <v>27</v>
      </c>
    </row>
    <row r="697" spans="2:15" ht="15.75" x14ac:dyDescent="0.25">
      <c r="B697" s="54">
        <f>IF(D697&lt;&gt;"",COUNTA($D$666:D697),"")</f>
        <v>27</v>
      </c>
      <c r="C697" s="54"/>
      <c r="D697" s="71" t="s">
        <v>91</v>
      </c>
      <c r="E697" s="71"/>
      <c r="F697" s="104"/>
      <c r="G697"/>
      <c r="H697" s="141">
        <v>4.71</v>
      </c>
      <c r="I697" s="142"/>
      <c r="J697" s="141">
        <v>4.71</v>
      </c>
      <c r="K697" s="81">
        <f t="shared" si="183"/>
        <v>0</v>
      </c>
      <c r="L697" s="71"/>
      <c r="M697"/>
      <c r="N697"/>
      <c r="O697"/>
    </row>
    <row r="698" spans="2:15" ht="15.75" x14ac:dyDescent="0.25">
      <c r="B698" s="54">
        <f>IF(D698&lt;&gt;"",COUNTA($D$666:D698),"")</f>
        <v>28</v>
      </c>
      <c r="C698" s="54"/>
      <c r="D698" s="71" t="s">
        <v>93</v>
      </c>
      <c r="E698" s="71"/>
      <c r="F698" s="104"/>
      <c r="G698"/>
      <c r="H698" s="85">
        <v>3.8440000000000002E-2</v>
      </c>
      <c r="I698" s="85"/>
      <c r="J698" s="85">
        <v>3.8440000000000002E-2</v>
      </c>
      <c r="K698" s="85">
        <f t="shared" si="183"/>
        <v>0</v>
      </c>
      <c r="L698" s="71"/>
      <c r="M698"/>
      <c r="N698"/>
      <c r="O698"/>
    </row>
    <row r="699" spans="2:15" ht="15.75" x14ac:dyDescent="0.25">
      <c r="B699" s="54">
        <f>IF(D699&lt;&gt;"",COUNTA($D$666:D699),"")</f>
        <v>29</v>
      </c>
      <c r="C699" s="54"/>
      <c r="D699" s="71" t="s">
        <v>94</v>
      </c>
      <c r="E699" s="71"/>
      <c r="F699" s="104"/>
      <c r="G699"/>
      <c r="H699" s="85">
        <v>2.8740000000000002E-2</v>
      </c>
      <c r="I699" s="85"/>
      <c r="J699" s="85">
        <v>2.8740000000000002E-2</v>
      </c>
      <c r="K699" s="85">
        <f t="shared" si="183"/>
        <v>0</v>
      </c>
      <c r="L699" s="71"/>
      <c r="M699"/>
      <c r="N699"/>
      <c r="O699"/>
    </row>
    <row r="700" spans="2:15" ht="15.75" x14ac:dyDescent="0.25">
      <c r="B700" s="54">
        <f>IF(D700&lt;&gt;"",COUNTA($D$666:D700),"")</f>
        <v>30</v>
      </c>
      <c r="C700" s="54"/>
      <c r="D700" s="71" t="s">
        <v>51</v>
      </c>
      <c r="E700" s="71"/>
      <c r="F700" s="104"/>
      <c r="G700"/>
      <c r="H700" s="85">
        <v>-1.0000000000000001E-5</v>
      </c>
      <c r="I700" s="85"/>
      <c r="J700" s="85">
        <v>-1.0000000000000001E-5</v>
      </c>
      <c r="K700" s="85">
        <f t="shared" si="183"/>
        <v>0</v>
      </c>
      <c r="L700" s="71"/>
      <c r="M700"/>
      <c r="N700" t="s">
        <v>27</v>
      </c>
      <c r="O700"/>
    </row>
    <row r="701" spans="2:15" ht="15.75" x14ac:dyDescent="0.25">
      <c r="B701" s="54">
        <f>IF(D701&lt;&gt;"",COUNTA($D$666:D701),"")</f>
        <v>31</v>
      </c>
      <c r="C701" s="54"/>
      <c r="D701" s="71" t="s">
        <v>52</v>
      </c>
      <c r="E701" s="71"/>
      <c r="F701" s="104"/>
      <c r="G701"/>
      <c r="H701" s="85">
        <v>-3.4000000000000002E-4</v>
      </c>
      <c r="I701" s="85"/>
      <c r="J701" s="85">
        <v>-3.4000000000000002E-4</v>
      </c>
      <c r="K701" s="85">
        <f t="shared" si="183"/>
        <v>0</v>
      </c>
      <c r="L701" s="71"/>
      <c r="M701"/>
      <c r="N701"/>
      <c r="O701"/>
    </row>
    <row r="702" spans="2:15" ht="15.75" x14ac:dyDescent="0.25">
      <c r="B702" s="54">
        <f>IF(D702&lt;&gt;"",COUNTA($D$666:D702),"")</f>
        <v>32</v>
      </c>
      <c r="C702" s="54"/>
      <c r="D702" s="71" t="s">
        <v>53</v>
      </c>
      <c r="E702" s="71"/>
      <c r="F702" s="104"/>
      <c r="G702"/>
      <c r="H702" s="85">
        <v>4.4999999999999997E-3</v>
      </c>
      <c r="I702" s="85"/>
      <c r="J702" s="85">
        <v>4.4999999999999997E-3</v>
      </c>
      <c r="K702" s="85">
        <f t="shared" si="183"/>
        <v>0</v>
      </c>
      <c r="L702" s="71"/>
      <c r="M702"/>
      <c r="N702"/>
      <c r="O702"/>
    </row>
    <row r="703" spans="2:15" ht="15.75" x14ac:dyDescent="0.25">
      <c r="B703" s="54">
        <f>IF(D703&lt;&gt;"",COUNTA($D$666:D703),"")</f>
        <v>33</v>
      </c>
      <c r="C703" s="54"/>
      <c r="D703" s="71" t="s">
        <v>54</v>
      </c>
      <c r="E703" s="71"/>
      <c r="F703" s="104"/>
      <c r="G703"/>
      <c r="H703" s="85">
        <v>7.9799999999999992E-3</v>
      </c>
      <c r="I703" s="85"/>
      <c r="J703" s="85">
        <v>7.9799999999999992E-3</v>
      </c>
      <c r="K703" s="85">
        <f t="shared" si="183"/>
        <v>0</v>
      </c>
      <c r="L703" s="71"/>
      <c r="M703"/>
      <c r="N703"/>
      <c r="O703"/>
    </row>
    <row r="704" spans="2:15" ht="15.75" x14ac:dyDescent="0.25">
      <c r="B704" s="54">
        <f>IF(D704&lt;&gt;"",COUNTA($D$666:D704),"")</f>
        <v>34</v>
      </c>
      <c r="C704" s="54"/>
      <c r="D704" s="71" t="s">
        <v>55</v>
      </c>
      <c r="E704" s="71"/>
      <c r="F704" s="104"/>
      <c r="G704"/>
      <c r="H704" s="85">
        <v>9.7000000000000005E-4</v>
      </c>
      <c r="I704" s="85"/>
      <c r="J704" s="85">
        <v>9.7000000000000005E-4</v>
      </c>
      <c r="K704" s="85">
        <f t="shared" si="183"/>
        <v>0</v>
      </c>
      <c r="L704" s="71"/>
      <c r="M704"/>
      <c r="N704"/>
      <c r="O704"/>
    </row>
    <row r="705" spans="2:15" ht="15.75" x14ac:dyDescent="0.25">
      <c r="B705" s="54">
        <f>IF(D705&lt;&gt;"",COUNTA($D$666:D705),"")</f>
        <v>35</v>
      </c>
      <c r="C705" s="54"/>
      <c r="D705" s="71" t="s">
        <v>56</v>
      </c>
      <c r="E705" s="71"/>
      <c r="F705" s="104"/>
      <c r="G705"/>
      <c r="H705" s="85">
        <v>4.8300000000000001E-3</v>
      </c>
      <c r="I705" s="85"/>
      <c r="J705" s="85">
        <v>4.8300000000000001E-3</v>
      </c>
      <c r="K705" s="85">
        <f t="shared" si="183"/>
        <v>0</v>
      </c>
      <c r="L705" s="71"/>
      <c r="M705"/>
      <c r="N705"/>
      <c r="O705"/>
    </row>
    <row r="706" spans="2:15" ht="15.75" x14ac:dyDescent="0.25">
      <c r="B706" s="54">
        <f>IF(D706&lt;&gt;"",COUNTA($D$666:D706),"")</f>
        <v>36</v>
      </c>
      <c r="C706" s="54"/>
      <c r="D706" s="71" t="s">
        <v>57</v>
      </c>
      <c r="E706" s="71"/>
      <c r="F706" s="104"/>
      <c r="G706"/>
      <c r="H706" s="85">
        <v>-3.6999999999999999E-4</v>
      </c>
      <c r="I706" s="85"/>
      <c r="J706" s="85">
        <v>-3.6999999999999999E-4</v>
      </c>
      <c r="K706" s="85">
        <f t="shared" si="183"/>
        <v>0</v>
      </c>
      <c r="L706" s="71"/>
      <c r="M706"/>
      <c r="N706"/>
      <c r="O706"/>
    </row>
    <row r="707" spans="2:15" ht="15.75" x14ac:dyDescent="0.25">
      <c r="B707" s="54">
        <f>IF(D707&lt;&gt;"",COUNTA($D$666:D707),"")</f>
        <v>37</v>
      </c>
      <c r="C707" s="54"/>
      <c r="D707" s="71" t="s">
        <v>58</v>
      </c>
      <c r="E707" s="71"/>
      <c r="F707" s="104"/>
      <c r="G707"/>
      <c r="H707" s="85">
        <v>2.0000000000000002E-5</v>
      </c>
      <c r="I707" s="85"/>
      <c r="J707" s="85">
        <v>2.0000000000000002E-5</v>
      </c>
      <c r="K707" s="85">
        <f t="shared" si="183"/>
        <v>0</v>
      </c>
      <c r="L707" s="71"/>
      <c r="M707"/>
      <c r="N707"/>
      <c r="O707"/>
    </row>
    <row r="708" spans="2:15" ht="15.75" x14ac:dyDescent="0.25">
      <c r="B708" s="54">
        <f>IF(D708&lt;&gt;"",COUNTA($D$666:D708),"")</f>
        <v>38</v>
      </c>
      <c r="C708" s="54"/>
      <c r="D708" s="71" t="s">
        <v>59</v>
      </c>
      <c r="E708" s="71"/>
      <c r="F708" s="104"/>
      <c r="G708"/>
      <c r="H708" s="85">
        <v>7.4200000000000004E-3</v>
      </c>
      <c r="I708" s="85"/>
      <c r="J708" s="85">
        <v>7.4200000000000004E-3</v>
      </c>
      <c r="K708" s="85">
        <f t="shared" si="183"/>
        <v>0</v>
      </c>
      <c r="L708" s="71"/>
      <c r="M708"/>
      <c r="N708"/>
      <c r="O708"/>
    </row>
    <row r="709" spans="2:15" ht="15.75" x14ac:dyDescent="0.25">
      <c r="B709" s="54">
        <f>IF(D709&lt;&gt;"",COUNTA($D$666:D709),"")</f>
        <v>39</v>
      </c>
      <c r="C709" s="54"/>
      <c r="D709" s="71" t="s">
        <v>60</v>
      </c>
      <c r="E709" s="71"/>
      <c r="F709" s="104"/>
      <c r="G709"/>
      <c r="H709" s="85">
        <v>0</v>
      </c>
      <c r="I709" s="85"/>
      <c r="J709" s="85">
        <v>0</v>
      </c>
      <c r="K709" s="85">
        <f t="shared" si="183"/>
        <v>0</v>
      </c>
      <c r="L709" s="71"/>
      <c r="M709"/>
      <c r="N709"/>
      <c r="O709"/>
    </row>
    <row r="710" spans="2:15" ht="15.75" x14ac:dyDescent="0.25">
      <c r="B710" s="54">
        <f>IF(D710&lt;&gt;"",COUNTA($D$666:D710),"")</f>
        <v>40</v>
      </c>
      <c r="C710" s="54"/>
      <c r="D710" s="71" t="s">
        <v>61</v>
      </c>
      <c r="E710" s="71"/>
      <c r="F710" s="104"/>
      <c r="G710"/>
      <c r="H710" s="85">
        <v>-5.5000000000000003E-4</v>
      </c>
      <c r="I710" s="85"/>
      <c r="J710" s="85">
        <v>-5.5000000000000003E-4</v>
      </c>
      <c r="K710" s="85">
        <f t="shared" si="183"/>
        <v>0</v>
      </c>
      <c r="L710" s="71"/>
      <c r="M710"/>
      <c r="N710"/>
      <c r="O710"/>
    </row>
    <row r="711" spans="2:15" ht="15.75" x14ac:dyDescent="0.25">
      <c r="B711" s="54">
        <f>IF(D711&lt;&gt;"",COUNTA($D$666:D711),"")</f>
        <v>41</v>
      </c>
      <c r="C711" s="54"/>
      <c r="D711" s="71" t="s">
        <v>62</v>
      </c>
      <c r="E711" s="71"/>
      <c r="F711" s="104"/>
      <c r="G711"/>
      <c r="H711" s="85">
        <v>1.3999999999999999E-4</v>
      </c>
      <c r="I711" s="85"/>
      <c r="J711" s="85">
        <v>1.3999999999999999E-4</v>
      </c>
      <c r="K711" s="85">
        <f t="shared" si="183"/>
        <v>0</v>
      </c>
      <c r="L711" s="71"/>
      <c r="M711"/>
      <c r="N711"/>
      <c r="O711"/>
    </row>
    <row r="712" spans="2:15" ht="15.75" x14ac:dyDescent="0.25">
      <c r="B712" s="54">
        <f>IF(D712&lt;&gt;"",COUNTA($D$666:D712),"")</f>
        <v>42</v>
      </c>
      <c r="C712" s="54"/>
      <c r="D712" s="71" t="s">
        <v>63</v>
      </c>
      <c r="E712"/>
      <c r="F712"/>
      <c r="G712"/>
      <c r="H712" s="85">
        <v>-2.4000000000000001E-4</v>
      </c>
      <c r="I712" s="85"/>
      <c r="J712" s="85">
        <v>-2.4000000000000001E-4</v>
      </c>
      <c r="K712" s="85">
        <f t="shared" si="183"/>
        <v>0</v>
      </c>
      <c r="L712" s="71"/>
      <c r="M712"/>
      <c r="N712"/>
      <c r="O712"/>
    </row>
    <row r="713" spans="2:15" ht="15.75" x14ac:dyDescent="0.25">
      <c r="B713" s="54">
        <f>IF(D713&lt;&gt;"",COUNTA($D$666:D713),"")</f>
        <v>43</v>
      </c>
      <c r="C713" s="54"/>
      <c r="D713" s="71" t="s">
        <v>64</v>
      </c>
      <c r="E713" s="71"/>
      <c r="F713" s="104"/>
      <c r="G713"/>
      <c r="H713" s="85">
        <v>9.7999999999999997E-4</v>
      </c>
      <c r="I713" s="85"/>
      <c r="J713" s="85">
        <v>9.7999999999999997E-4</v>
      </c>
      <c r="K713" s="85">
        <f t="shared" si="183"/>
        <v>0</v>
      </c>
      <c r="L713" s="71"/>
      <c r="M713"/>
      <c r="N713"/>
      <c r="O713"/>
    </row>
    <row r="714" spans="2:15" ht="15.75" x14ac:dyDescent="0.25">
      <c r="B714" s="54">
        <f>IF(D714&lt;&gt;"",COUNTA($D$666:D714),"")</f>
        <v>44</v>
      </c>
      <c r="C714" s="54"/>
      <c r="D714" s="71" t="s">
        <v>65</v>
      </c>
      <c r="E714" s="71"/>
      <c r="F714" s="104"/>
      <c r="G714"/>
      <c r="H714" s="85">
        <v>-7.1000000000000002E-4</v>
      </c>
      <c r="I714" s="85"/>
      <c r="J714" s="85">
        <v>-7.1000000000000002E-4</v>
      </c>
      <c r="K714" s="85">
        <f t="shared" si="183"/>
        <v>0</v>
      </c>
      <c r="L714" s="71"/>
      <c r="M714"/>
      <c r="N714"/>
      <c r="O714"/>
    </row>
    <row r="715" spans="2:15" ht="15.75" x14ac:dyDescent="0.25">
      <c r="B715" s="54">
        <f>IF(D715&lt;&gt;"",COUNTA($D$666:D715),"")</f>
        <v>45</v>
      </c>
      <c r="C715" s="54"/>
      <c r="D715" s="71" t="s">
        <v>66</v>
      </c>
      <c r="E715" s="71"/>
      <c r="F715" s="104"/>
      <c r="G715"/>
      <c r="H715" s="85">
        <v>2.14E-3</v>
      </c>
      <c r="I715" s="85"/>
      <c r="J715" s="85">
        <v>2.14E-3</v>
      </c>
      <c r="K715" s="85">
        <f t="shared" si="183"/>
        <v>0</v>
      </c>
      <c r="L715" s="71"/>
      <c r="M715"/>
      <c r="N715"/>
      <c r="O715"/>
    </row>
    <row r="716" spans="2:15" ht="15.75" x14ac:dyDescent="0.25">
      <c r="B716" s="54">
        <f>IF(D716&lt;&gt;"",COUNTA($D$666:D716),"")</f>
        <v>46</v>
      </c>
      <c r="C716" s="54"/>
      <c r="D716" s="71" t="s">
        <v>67</v>
      </c>
      <c r="E716" s="71"/>
      <c r="F716" s="104"/>
      <c r="G716"/>
      <c r="H716" s="85">
        <v>6.7200000000000003E-3</v>
      </c>
      <c r="I716" s="85"/>
      <c r="J716" s="85">
        <v>6.7200000000000003E-3</v>
      </c>
      <c r="K716" s="85">
        <f t="shared" si="183"/>
        <v>0</v>
      </c>
      <c r="L716" s="71"/>
      <c r="M716"/>
      <c r="N716"/>
      <c r="O716"/>
    </row>
    <row r="717" spans="2:15" ht="15.75" x14ac:dyDescent="0.25">
      <c r="B717" s="54">
        <f>IF(D717&lt;&gt;"",COUNTA($D$666:D717),"")</f>
        <v>47</v>
      </c>
      <c r="C717" s="54"/>
      <c r="D717" s="71" t="s">
        <v>68</v>
      </c>
      <c r="E717" s="71"/>
      <c r="F717" s="104"/>
      <c r="G717"/>
      <c r="H717" s="85">
        <v>0</v>
      </c>
      <c r="I717" s="85"/>
      <c r="J717" s="85">
        <v>0</v>
      </c>
      <c r="K717" s="85">
        <f>+J717-H717</f>
        <v>0</v>
      </c>
      <c r="L717" s="71"/>
      <c r="M717"/>
      <c r="N717"/>
      <c r="O717"/>
    </row>
    <row r="718" spans="2:15" ht="15.75" x14ac:dyDescent="0.25">
      <c r="B718" s="54">
        <f>IF(D718&lt;&gt;"",COUNTA($D$666:D718),"")</f>
        <v>48</v>
      </c>
      <c r="C718" s="54"/>
      <c r="D718" s="71" t="s">
        <v>69</v>
      </c>
      <c r="E718" s="71"/>
      <c r="F718" s="104"/>
      <c r="G718"/>
      <c r="H718" s="85">
        <v>6.0000000000000002E-5</v>
      </c>
      <c r="I718" s="85"/>
      <c r="J718" s="85">
        <v>6.0000000000000002E-5</v>
      </c>
      <c r="K718" s="85">
        <f>+J718-H718</f>
        <v>0</v>
      </c>
      <c r="L718" s="71"/>
      <c r="M718"/>
      <c r="N718"/>
      <c r="O718"/>
    </row>
    <row r="719" spans="2:15" ht="15.75" x14ac:dyDescent="0.25">
      <c r="B719" s="54">
        <f>IF(D719&lt;&gt;"",COUNTA($D$666:D719),"")</f>
        <v>49</v>
      </c>
      <c r="C719" s="54"/>
      <c r="D719" s="71" t="s">
        <v>70</v>
      </c>
      <c r="E719" s="71"/>
      <c r="F719" s="104"/>
      <c r="G719"/>
      <c r="H719" s="85">
        <v>1.0000000000000001E-5</v>
      </c>
      <c r="I719" s="85"/>
      <c r="J719" s="85">
        <v>1.0000000000000001E-5</v>
      </c>
      <c r="K719" s="85">
        <f>+J719-H719</f>
        <v>0</v>
      </c>
      <c r="L719" s="71"/>
      <c r="M719"/>
      <c r="N719"/>
      <c r="O719"/>
    </row>
    <row r="720" spans="2:15" ht="15.75" x14ac:dyDescent="0.25">
      <c r="B720" s="54">
        <f>IF(D720&lt;&gt;"",COUNTA($D$666:D720),"")</f>
        <v>50</v>
      </c>
      <c r="C720" s="54"/>
      <c r="D720" s="71" t="s">
        <v>71</v>
      </c>
      <c r="E720" s="71"/>
      <c r="F720" s="104"/>
      <c r="G720"/>
      <c r="H720" s="85">
        <v>7.9000000000000001E-4</v>
      </c>
      <c r="I720" s="85"/>
      <c r="J720" s="85">
        <v>7.9000000000000001E-4</v>
      </c>
      <c r="K720" s="85">
        <f>+J720-H720</f>
        <v>0</v>
      </c>
      <c r="L720" s="71"/>
      <c r="M720"/>
      <c r="N720"/>
      <c r="O720"/>
    </row>
    <row r="721" spans="2:15" ht="15.75" x14ac:dyDescent="0.25">
      <c r="B721" s="54">
        <f>IF(D721&lt;&gt;"",COUNTA($D$666:D721),"")</f>
        <v>51</v>
      </c>
      <c r="C721" s="54"/>
      <c r="D721" s="71" t="s">
        <v>72</v>
      </c>
      <c r="E721" s="71"/>
      <c r="F721" s="104"/>
      <c r="G721"/>
      <c r="H721" s="85">
        <v>-7.6999999999999996E-4</v>
      </c>
      <c r="I721" s="85"/>
      <c r="J721" s="85">
        <v>-7.6999999999999996E-4</v>
      </c>
      <c r="K721" s="85">
        <f t="shared" si="183"/>
        <v>0</v>
      </c>
      <c r="L721" s="71"/>
      <c r="M721"/>
      <c r="N721"/>
      <c r="O721"/>
    </row>
    <row r="722" spans="2:15" ht="15.75" x14ac:dyDescent="0.25">
      <c r="B722" s="54">
        <f>IF(D722&lt;&gt;"",COUNTA($D$666:D722),"")</f>
        <v>52</v>
      </c>
      <c r="C722" s="54"/>
      <c r="D722" s="71" t="s">
        <v>73</v>
      </c>
      <c r="E722" s="71"/>
      <c r="F722" s="104"/>
      <c r="G722"/>
      <c r="H722" s="85">
        <v>3.5340000000000003E-2</v>
      </c>
      <c r="I722" s="85"/>
      <c r="J722" s="85">
        <v>3.5340000000000003E-2</v>
      </c>
      <c r="K722" s="85">
        <f t="shared" si="183"/>
        <v>0</v>
      </c>
      <c r="L722" s="71"/>
      <c r="M722"/>
      <c r="N722"/>
      <c r="O722"/>
    </row>
    <row r="723" spans="2:15" ht="15.75" x14ac:dyDescent="0.25">
      <c r="B723" s="54">
        <f>IF(D723&lt;&gt;"",COUNTA($D$666:D723),"")</f>
        <v>53</v>
      </c>
      <c r="C723" s="54"/>
      <c r="D723" s="71" t="s">
        <v>74</v>
      </c>
      <c r="E723" s="71"/>
      <c r="F723" s="104"/>
      <c r="G723"/>
      <c r="H723" s="85">
        <v>2.682E-2</v>
      </c>
      <c r="I723" s="85"/>
      <c r="J723" s="85">
        <v>3.4909999999999997E-2</v>
      </c>
      <c r="K723" s="85">
        <f t="shared" si="183"/>
        <v>8.0899999999999965E-3</v>
      </c>
      <c r="L723" s="71"/>
      <c r="M723"/>
      <c r="N723"/>
      <c r="O723"/>
    </row>
    <row r="724" spans="2:15" ht="15.75" x14ac:dyDescent="0.25">
      <c r="B724" s="54">
        <f>IF(D724&lt;&gt;"",COUNTA($D$666:D724),"")</f>
        <v>54</v>
      </c>
      <c r="C724" s="54"/>
      <c r="D724" s="71" t="s">
        <v>75</v>
      </c>
      <c r="E724" s="71"/>
      <c r="F724" s="104"/>
      <c r="G724"/>
      <c r="H724" s="85">
        <v>2.5000000000000001E-3</v>
      </c>
      <c r="I724" s="85"/>
      <c r="J724" s="85">
        <v>2.5000000000000001E-3</v>
      </c>
      <c r="K724" s="85">
        <f t="shared" si="183"/>
        <v>0</v>
      </c>
      <c r="L724" s="71"/>
      <c r="M724"/>
      <c r="N724"/>
      <c r="O724"/>
    </row>
    <row r="725" spans="2:15" ht="15.75" x14ac:dyDescent="0.25">
      <c r="B725" s="54">
        <f>IF(D725&lt;&gt;"",COUNTA($D$666:D725),"")</f>
        <v>55</v>
      </c>
      <c r="C725" s="54"/>
      <c r="D725" s="71" t="s">
        <v>76</v>
      </c>
      <c r="E725" s="71"/>
      <c r="F725" s="104"/>
      <c r="G725"/>
      <c r="H725" s="85">
        <v>5.0000000000000001E-4</v>
      </c>
      <c r="I725" s="85"/>
      <c r="J725" s="85">
        <v>5.0000000000000001E-4</v>
      </c>
      <c r="K725" s="85">
        <f t="shared" si="183"/>
        <v>0</v>
      </c>
      <c r="L725" s="71"/>
      <c r="M725"/>
      <c r="N725"/>
      <c r="O725"/>
    </row>
    <row r="726" spans="2:15" ht="15.75" x14ac:dyDescent="0.25">
      <c r="B726" s="54">
        <f>IF(D726&lt;&gt;"",COUNTA($D$666:D726),"")</f>
        <v>56</v>
      </c>
      <c r="C726" s="54"/>
      <c r="D726" s="71" t="s">
        <v>77</v>
      </c>
      <c r="E726" s="71"/>
      <c r="F726" s="104"/>
      <c r="G726"/>
      <c r="H726" s="85">
        <v>0.16466</v>
      </c>
      <c r="I726" s="85"/>
      <c r="J726" s="85">
        <v>0.16466</v>
      </c>
      <c r="K726" s="85">
        <f t="shared" si="183"/>
        <v>0</v>
      </c>
      <c r="L726" s="71"/>
      <c r="M726"/>
      <c r="N726"/>
      <c r="O726"/>
    </row>
    <row r="727" spans="2:15" x14ac:dyDescent="0.2">
      <c r="B727" s="54" t="str">
        <f>IF(D727&lt;&gt;"",COUNTA($D$666:D727),"")</f>
        <v/>
      </c>
    </row>
    <row r="728" spans="2:15" ht="15.75" x14ac:dyDescent="0.25">
      <c r="B728" s="54">
        <f>IF(D728&lt;&gt;"",COUNTA($D$666:D728),"")</f>
        <v>57</v>
      </c>
      <c r="C728" s="54"/>
      <c r="D728" s="143" t="s">
        <v>95</v>
      </c>
      <c r="E728"/>
      <c r="F728" s="144">
        <v>0.25</v>
      </c>
    </row>
    <row r="729" spans="2:15" ht="15.75" x14ac:dyDescent="0.25">
      <c r="B729" s="54">
        <f>IF(D729&lt;&gt;"",COUNTA($D$666:D729),"")</f>
        <v>58</v>
      </c>
      <c r="C729" s="54"/>
      <c r="D729" s="143" t="s">
        <v>96</v>
      </c>
      <c r="E729"/>
      <c r="F729" s="144">
        <v>0.75</v>
      </c>
    </row>
    <row r="732" spans="2:15" x14ac:dyDescent="0.2">
      <c r="D732" s="46" t="s">
        <v>27</v>
      </c>
    </row>
  </sheetData>
  <mergeCells count="83">
    <mergeCell ref="B659:O659"/>
    <mergeCell ref="B660:O660"/>
    <mergeCell ref="B661:O661"/>
    <mergeCell ref="B663:O663"/>
    <mergeCell ref="F666:H666"/>
    <mergeCell ref="J666:L666"/>
    <mergeCell ref="N666:O666"/>
    <mergeCell ref="B589:O589"/>
    <mergeCell ref="B590:O590"/>
    <mergeCell ref="B591:O591"/>
    <mergeCell ref="B593:O593"/>
    <mergeCell ref="F596:H596"/>
    <mergeCell ref="J596:L596"/>
    <mergeCell ref="N596:O596"/>
    <mergeCell ref="B520:O520"/>
    <mergeCell ref="B521:O521"/>
    <mergeCell ref="B522:O522"/>
    <mergeCell ref="B524:O524"/>
    <mergeCell ref="F527:H527"/>
    <mergeCell ref="J527:L527"/>
    <mergeCell ref="N527:O527"/>
    <mergeCell ref="B445:O445"/>
    <mergeCell ref="B446:O446"/>
    <mergeCell ref="B447:O447"/>
    <mergeCell ref="B449:O449"/>
    <mergeCell ref="F452:H452"/>
    <mergeCell ref="J452:L452"/>
    <mergeCell ref="N452:O452"/>
    <mergeCell ref="B390:O390"/>
    <mergeCell ref="B391:O391"/>
    <mergeCell ref="B392:O392"/>
    <mergeCell ref="B394:O394"/>
    <mergeCell ref="F397:H397"/>
    <mergeCell ref="J397:L397"/>
    <mergeCell ref="N397:O397"/>
    <mergeCell ref="B331:O331"/>
    <mergeCell ref="B332:O332"/>
    <mergeCell ref="B333:O333"/>
    <mergeCell ref="B335:O335"/>
    <mergeCell ref="F338:H338"/>
    <mergeCell ref="J338:L338"/>
    <mergeCell ref="N338:O338"/>
    <mergeCell ref="B273:O273"/>
    <mergeCell ref="B274:O274"/>
    <mergeCell ref="B275:O275"/>
    <mergeCell ref="B277:O277"/>
    <mergeCell ref="F280:H280"/>
    <mergeCell ref="J280:L280"/>
    <mergeCell ref="N280:O280"/>
    <mergeCell ref="B198:O198"/>
    <mergeCell ref="B200:O200"/>
    <mergeCell ref="F203:H203"/>
    <mergeCell ref="J203:L203"/>
    <mergeCell ref="N203:O203"/>
    <mergeCell ref="F220:H220"/>
    <mergeCell ref="J220:L220"/>
    <mergeCell ref="N220:O220"/>
    <mergeCell ref="B141:O141"/>
    <mergeCell ref="F144:H144"/>
    <mergeCell ref="J144:L144"/>
    <mergeCell ref="N144:O144"/>
    <mergeCell ref="B196:O196"/>
    <mergeCell ref="B197:O197"/>
    <mergeCell ref="F85:H85"/>
    <mergeCell ref="J85:L85"/>
    <mergeCell ref="N85:O85"/>
    <mergeCell ref="B137:O137"/>
    <mergeCell ref="B138:O138"/>
    <mergeCell ref="B139:O139"/>
    <mergeCell ref="B61:O61"/>
    <mergeCell ref="B62:O62"/>
    <mergeCell ref="B63:O63"/>
    <mergeCell ref="B65:O65"/>
    <mergeCell ref="F68:H68"/>
    <mergeCell ref="J68:L68"/>
    <mergeCell ref="N68:O68"/>
    <mergeCell ref="B3:O3"/>
    <mergeCell ref="B4:O4"/>
    <mergeCell ref="B5:O5"/>
    <mergeCell ref="B7:O7"/>
    <mergeCell ref="F10:H10"/>
    <mergeCell ref="J10:L10"/>
    <mergeCell ref="N10:O10"/>
  </mergeCells>
  <pageMargins left="0.7" right="0.7" top="0.75" bottom="0.75" header="0.3" footer="0.3"/>
  <pageSetup scale="54" orientation="portrait" r:id="rId1"/>
  <headerFooter>
    <oddHeader>&amp;R&amp;"Arial,Regular"&amp;10Cape Light Compact JPE
D.P.U. 26-146
Exhibit 3, Bill Detail
October 30, 2026
Page &amp;P of &amp;N</oddHeader>
  </headerFooter>
  <rowBreaks count="18" manualBreakCount="18">
    <brk id="59" max="15" man="1"/>
    <brk id="135" max="15" man="1"/>
    <brk id="194" max="15" man="1"/>
    <brk id="271" max="15" man="1"/>
    <brk id="329" max="15" man="1"/>
    <brk id="388" max="15" man="1"/>
    <brk id="443" max="15" man="1"/>
    <brk id="518" max="15" man="1"/>
    <brk id="587" max="15" man="1"/>
    <brk id="657" max="15" man="1"/>
    <brk id="786" max="14" man="1"/>
    <brk id="847" max="14" man="1"/>
    <brk id="905" max="14" man="1"/>
    <brk id="963" max="14" man="1"/>
    <brk id="1025" max="14" man="1"/>
    <brk id="1087" max="14" man="1"/>
    <brk id="1149" max="14" man="1"/>
    <brk id="1211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16383467D24D419A9E3D7EDD6A6740" ma:contentTypeVersion="32" ma:contentTypeDescription="Create a new document." ma:contentTypeScope="" ma:versionID="1c7797f089e30d7e2f3e686f72ea1c0d">
  <xsd:schema xmlns:xsd="http://www.w3.org/2001/XMLSchema" xmlns:xs="http://www.w3.org/2001/XMLSchema" xmlns:p="http://schemas.microsoft.com/office/2006/metadata/properties" xmlns:ns2="c20a850e-c062-459c-a12a-d2c0275d2d50" xmlns:ns3="b6fb2d50-eb25-4da7-9061-3663c5911224" targetNamespace="http://schemas.microsoft.com/office/2006/metadata/properties" ma:root="true" ma:fieldsID="4a0779bf4e8b3e07441e398fd864cc0c" ns2:_="" ns3:_="">
    <xsd:import namespace="c20a850e-c062-459c-a12a-d2c0275d2d50"/>
    <xsd:import namespace="b6fb2d50-eb25-4da7-9061-3663c5911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ateTime" minOccurs="0"/>
                <xsd:element ref="ns2:lcf76f155ced4ddcb4097134ff3c332f" minOccurs="0"/>
                <xsd:element ref="ns3:TaxCatchAll" minOccurs="0"/>
                <xsd:element ref="ns2:Category" minOccurs="0"/>
                <xsd:element ref="ns2:MediaServiceObjectDetectorVersions" minOccurs="0"/>
                <xsd:element ref="ns2:MediaServiceSearchProperties" minOccurs="0"/>
                <xsd:element ref="ns2:Date_x002d_Time" minOccurs="0"/>
                <xsd:element ref="ns2:TITLE0" minOccurs="0"/>
                <xsd:element ref="ns2:HasEmailAttachment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850e-c062-459c-a12a-d2c0275d2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eTime" ma:index="20" nillable="true" ma:displayName="Date &amp; Time" ma:format="DateTime" ma:internalName="DateTim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7c7d9e-f5e4-4134-85ad-bb804a784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y" ma:index="24" nillable="true" ma:displayName="Category" ma:format="Dropdown" ma:internalName="Category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mportant"/>
                        <xsd:enumeration value="Follow Up"/>
                        <xsd:enumeration value="Othe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x002d_Time" ma:index="27" nillable="true" ma:displayName="Date-Time" ma:format="DateTime" ma:internalName="Date_x002d_Time">
      <xsd:simpleType>
        <xsd:restriction base="dms:DateTime"/>
      </xsd:simpleType>
    </xsd:element>
    <xsd:element name="TITLE0" ma:index="28" nillable="true" ma:displayName="TITLE" ma:description="TITLE" ma:format="Dropdown" ma:internalName="TITLE0">
      <xsd:simpleType>
        <xsd:restriction base="dms:Text">
          <xsd:maxLength value="255"/>
        </xsd:restriction>
      </xsd:simpleType>
    </xsd:element>
    <xsd:element name="HasEmailAttachment" ma:index="29" nillable="true" ma:displayName="Has Email Attachment" ma:default="0" ma:format="Dropdown" ma:internalName="HasEmailAttachment">
      <xsd:simpleType>
        <xsd:restriction base="dms:Boolean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b2d50-eb25-4da7-9061-3663c5911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d9449e-aab7-408b-b5b3-255fb79e96fc}" ma:internalName="TaxCatchAll" ma:showField="CatchAllData" ma:web="b6fb2d50-eb25-4da7-9061-3663c59112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0a850e-c062-459c-a12a-d2c0275d2d50">
      <Terms xmlns="http://schemas.microsoft.com/office/infopath/2007/PartnerControls"/>
    </lcf76f155ced4ddcb4097134ff3c332f>
    <Category xmlns="c20a850e-c062-459c-a12a-d2c0275d2d50" xsi:nil="true"/>
    <Date_x002d_Time xmlns="c20a850e-c062-459c-a12a-d2c0275d2d50" xsi:nil="true"/>
    <HasEmailAttachment xmlns="c20a850e-c062-459c-a12a-d2c0275d2d50">false</HasEmailAttachment>
    <TaxCatchAll xmlns="b6fb2d50-eb25-4da7-9061-3663c5911224" xsi:nil="true"/>
    <TITLE0 xmlns="c20a850e-c062-459c-a12a-d2c0275d2d50" xsi:nil="true"/>
    <DateTime xmlns="c20a850e-c062-459c-a12a-d2c0275d2d50" xsi:nil="true"/>
  </documentManagement>
</p:properties>
</file>

<file path=customXml/itemProps1.xml><?xml version="1.0" encoding="utf-8"?>
<ds:datastoreItem xmlns:ds="http://schemas.openxmlformats.org/officeDocument/2006/customXml" ds:itemID="{0E269CE8-E941-4AA6-AAD8-AA9D9DFEC690}"/>
</file>

<file path=customXml/itemProps2.xml><?xml version="1.0" encoding="utf-8"?>
<ds:datastoreItem xmlns:ds="http://schemas.openxmlformats.org/officeDocument/2006/customXml" ds:itemID="{70776B93-0451-439C-8EE4-F6DAF4F49982}"/>
</file>

<file path=customXml/itemProps3.xml><?xml version="1.0" encoding="utf-8"?>
<ds:datastoreItem xmlns:ds="http://schemas.openxmlformats.org/officeDocument/2006/customXml" ds:itemID="{37120B46-B513-4F46-9DE6-729D9C6DF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Detail</vt:lpstr>
      <vt:lpstr>Detail!Print_Area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Malone</dc:creator>
  <cp:lastModifiedBy>Erin Malone</cp:lastModifiedBy>
  <dcterms:created xsi:type="dcterms:W3CDTF">2026-10-28T18:41:46Z</dcterms:created>
  <dcterms:modified xsi:type="dcterms:W3CDTF">2026-10-28T18:43:48Z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0x0101006916383467D24D419A9E3D7EDD6A6740</vt:lpwstr>
  </property>
</Properties>
</file>