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malone\Box\SEE\Projects\21-096 CLC EEFCM\2025-2027 Term\EES\Effective 2027.01\Support\Exh 2 EES\"/>
    </mc:Choice>
  </mc:AlternateContent>
  <xr:revisionPtr revIDLastSave="0" documentId="13_ncr:1_{EA8D8247-F50A-4404-B1AC-63ACF3154FC1}" xr6:coauthVersionLast="47" xr6:coauthVersionMax="47" xr10:uidLastSave="{00000000-0000-0000-0000-000000000000}"/>
  <bookViews>
    <workbookView xWindow="-120" yWindow="-120" windowWidth="29040" windowHeight="15720" xr2:uid="{E2376DD7-2EE1-47A2-80DB-26ABB9B7515C}"/>
  </bookViews>
  <sheets>
    <sheet name="Rates" sheetId="1" r:id="rId1"/>
    <sheet name="Res" sheetId="2" r:id="rId2"/>
    <sheet name="LI" sheetId="3" r:id="rId3"/>
    <sheet name="CI" sheetId="4" r:id="rId4"/>
    <sheet name="Total" sheetId="5" r:id="rId5"/>
  </sheets>
  <definedNames>
    <definedName name="BillPeriodA">#REF!</definedName>
    <definedName name="BillPeriodB">#REF!</definedName>
    <definedName name="calMonth">#REF!</definedName>
    <definedName name="NomDisRateYr2">#REF!</definedName>
    <definedName name="NomDisRateYr3">#REF!</definedName>
    <definedName name="_xlnm.Print_Area" localSheetId="3">CI!$C$1:$J$20,CI!$A$23:$BL$50</definedName>
    <definedName name="_xlnm.Print_Area" localSheetId="2">LI!$C$1:$L$20,LI!$A$23:$BL$50</definedName>
    <definedName name="_xlnm.Print_Area" localSheetId="0">Rates!$B$2:$H$22</definedName>
    <definedName name="_xlnm.Print_Area" localSheetId="1">Res!$C$1:$J$20,Res!$A$23:$BL$50</definedName>
    <definedName name="_xlnm.Print_Area" localSheetId="4">Total!$A$1:$BL$26</definedName>
    <definedName name="reportYear">#REF!</definedName>
    <definedName name="Year1">2025</definedName>
    <definedName name="Year2">2026</definedName>
    <definedName name="Year3">2027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26" i="5" l="1"/>
  <c r="B26" i="5"/>
  <c r="B25" i="5"/>
  <c r="B24" i="5"/>
  <c r="AX22" i="5"/>
  <c r="AW22" i="5"/>
  <c r="AH22" i="5"/>
  <c r="AG22" i="5"/>
  <c r="R22" i="5"/>
  <c r="Q22" i="5"/>
  <c r="B22" i="5"/>
  <c r="A22" i="5"/>
  <c r="AX21" i="5"/>
  <c r="AW21" i="5"/>
  <c r="AH21" i="5"/>
  <c r="AG21" i="5"/>
  <c r="R21" i="5"/>
  <c r="Q21" i="5"/>
  <c r="B21" i="5"/>
  <c r="A21" i="5"/>
  <c r="AX20" i="5"/>
  <c r="AW20" i="5"/>
  <c r="AH20" i="5"/>
  <c r="AG20" i="5"/>
  <c r="R20" i="5"/>
  <c r="Q20" i="5"/>
  <c r="B20" i="5"/>
  <c r="A20" i="5"/>
  <c r="AX18" i="5"/>
  <c r="AW18" i="5"/>
  <c r="AH18" i="5"/>
  <c r="AG18" i="5"/>
  <c r="R18" i="5"/>
  <c r="Q18" i="5"/>
  <c r="B18" i="5"/>
  <c r="A18" i="5"/>
  <c r="AW17" i="5"/>
  <c r="AG17" i="5"/>
  <c r="R17" i="5"/>
  <c r="Q17" i="5"/>
  <c r="AW16" i="5"/>
  <c r="AG16" i="5"/>
  <c r="R16" i="5"/>
  <c r="Q16" i="5"/>
  <c r="AX14" i="5"/>
  <c r="AH14" i="5"/>
  <c r="R14" i="5"/>
  <c r="B14" i="5"/>
  <c r="A14" i="5"/>
  <c r="AX13" i="5"/>
  <c r="AH13" i="5"/>
  <c r="R13" i="5"/>
  <c r="B13" i="5"/>
  <c r="A13" i="5"/>
  <c r="AX12" i="5"/>
  <c r="AH12" i="5"/>
  <c r="R12" i="5"/>
  <c r="B12" i="5"/>
  <c r="A12" i="5"/>
  <c r="AX11" i="5"/>
  <c r="AW11" i="5"/>
  <c r="AW12" i="5" s="1"/>
  <c r="AW13" i="5" s="1"/>
  <c r="AW14" i="5" s="1"/>
  <c r="AH11" i="5"/>
  <c r="R11" i="5"/>
  <c r="B11" i="5"/>
  <c r="A11" i="5"/>
  <c r="Z10" i="5"/>
  <c r="Y10" i="5"/>
  <c r="X10" i="5"/>
  <c r="W10" i="5"/>
  <c r="V10" i="5"/>
  <c r="U10" i="5"/>
  <c r="T10" i="5"/>
  <c r="R10" i="5"/>
  <c r="J10" i="5"/>
  <c r="I10" i="5"/>
  <c r="H10" i="5"/>
  <c r="G10" i="5"/>
  <c r="F10" i="5"/>
  <c r="E10" i="5"/>
  <c r="D10" i="5"/>
  <c r="B10" i="5"/>
  <c r="A10" i="5"/>
  <c r="AX9" i="5"/>
  <c r="AH9" i="5"/>
  <c r="AG9" i="5"/>
  <c r="AG11" i="5" s="1"/>
  <c r="AG12" i="5" s="1"/>
  <c r="AG13" i="5" s="1"/>
  <c r="AG14" i="5" s="1"/>
  <c r="AE9" i="5"/>
  <c r="AD9" i="5"/>
  <c r="AC9" i="5"/>
  <c r="AB9" i="5"/>
  <c r="AA9" i="5"/>
  <c r="R9" i="5"/>
  <c r="O9" i="5"/>
  <c r="N9" i="5"/>
  <c r="M9" i="5"/>
  <c r="L9" i="5"/>
  <c r="K9" i="5"/>
  <c r="B9" i="5"/>
  <c r="A9" i="5"/>
  <c r="AX8" i="5"/>
  <c r="AH8" i="5"/>
  <c r="R8" i="5"/>
  <c r="B8" i="5"/>
  <c r="A8" i="5"/>
  <c r="BK5" i="5"/>
  <c r="BJ5" i="5"/>
  <c r="BI5" i="5"/>
  <c r="BH5" i="5"/>
  <c r="BG5" i="5"/>
  <c r="BF5" i="5"/>
  <c r="BE5" i="5"/>
  <c r="BD5" i="5"/>
  <c r="BC5" i="5"/>
  <c r="BB5" i="5"/>
  <c r="BA5" i="5"/>
  <c r="AZ5" i="5"/>
  <c r="AU5" i="5"/>
  <c r="AT5" i="5"/>
  <c r="AS5" i="5"/>
  <c r="AR5" i="5"/>
  <c r="AQ5" i="5"/>
  <c r="AP5" i="5"/>
  <c r="AO5" i="5"/>
  <c r="AN5" i="5"/>
  <c r="AM5" i="5"/>
  <c r="AL5" i="5"/>
  <c r="AK5" i="5"/>
  <c r="AJ5" i="5"/>
  <c r="AE5" i="5"/>
  <c r="AD5" i="5"/>
  <c r="AC5" i="5"/>
  <c r="AB5" i="5"/>
  <c r="AA5" i="5"/>
  <c r="Z5" i="5"/>
  <c r="Y5" i="5"/>
  <c r="X5" i="5"/>
  <c r="W5" i="5"/>
  <c r="V5" i="5"/>
  <c r="U5" i="5"/>
  <c r="T5" i="5"/>
  <c r="O5" i="5"/>
  <c r="N5" i="5"/>
  <c r="M5" i="5"/>
  <c r="L5" i="5"/>
  <c r="K5" i="5"/>
  <c r="J5" i="5"/>
  <c r="I5" i="5"/>
  <c r="H5" i="5"/>
  <c r="G5" i="5"/>
  <c r="F5" i="5"/>
  <c r="E5" i="5"/>
  <c r="D5" i="5"/>
  <c r="C5" i="5"/>
  <c r="AW2" i="5"/>
  <c r="AG2" i="5"/>
  <c r="Q2" i="5"/>
  <c r="A2" i="5"/>
  <c r="B48" i="4"/>
  <c r="B47" i="4"/>
  <c r="AZ45" i="4"/>
  <c r="AX45" i="4"/>
  <c r="AW45" i="4"/>
  <c r="AJ45" i="4"/>
  <c r="AH45" i="4"/>
  <c r="AG45" i="4"/>
  <c r="T45" i="4"/>
  <c r="R45" i="4"/>
  <c r="Q45" i="4"/>
  <c r="B45" i="4"/>
  <c r="A45" i="4"/>
  <c r="AX44" i="4"/>
  <c r="AW44" i="4"/>
  <c r="AH44" i="4"/>
  <c r="AG44" i="4"/>
  <c r="R44" i="4"/>
  <c r="Q44" i="4"/>
  <c r="B44" i="4"/>
  <c r="A44" i="4"/>
  <c r="AX43" i="4"/>
  <c r="AW43" i="4"/>
  <c r="AH43" i="4"/>
  <c r="AG43" i="4"/>
  <c r="AF43" i="4"/>
  <c r="R43" i="4"/>
  <c r="Q43" i="4"/>
  <c r="P43" i="4"/>
  <c r="B43" i="4"/>
  <c r="A43" i="4"/>
  <c r="AX42" i="4"/>
  <c r="AW42" i="4"/>
  <c r="AH42" i="4"/>
  <c r="AG42" i="4"/>
  <c r="R42" i="4"/>
  <c r="Q42" i="4"/>
  <c r="B42" i="4"/>
  <c r="A42" i="4"/>
  <c r="AX40" i="4"/>
  <c r="AW40" i="4"/>
  <c r="AH40" i="4"/>
  <c r="AG40" i="4"/>
  <c r="R40" i="4"/>
  <c r="Q40" i="4"/>
  <c r="B40" i="4"/>
  <c r="A40" i="4"/>
  <c r="AW39" i="4"/>
  <c r="AG39" i="4"/>
  <c r="R39" i="4"/>
  <c r="Q39" i="4"/>
  <c r="AW38" i="4"/>
  <c r="AG38" i="4"/>
  <c r="R38" i="4"/>
  <c r="Q38" i="4"/>
  <c r="AX36" i="4"/>
  <c r="AH36" i="4"/>
  <c r="R36" i="4"/>
  <c r="B36" i="4"/>
  <c r="A36" i="4"/>
  <c r="A35" i="4"/>
  <c r="AX34" i="4"/>
  <c r="AH34" i="4"/>
  <c r="R34" i="4"/>
  <c r="B34" i="4"/>
  <c r="A34" i="4"/>
  <c r="AX33" i="4"/>
  <c r="AH33" i="4"/>
  <c r="R33" i="4"/>
  <c r="B33" i="4"/>
  <c r="A33" i="4"/>
  <c r="R32" i="4"/>
  <c r="B32" i="4"/>
  <c r="A32" i="4"/>
  <c r="AX31" i="4"/>
  <c r="AH31" i="4"/>
  <c r="AG31" i="4"/>
  <c r="AG33" i="4" s="1"/>
  <c r="AG34" i="4" s="1"/>
  <c r="AG35" i="4" s="1"/>
  <c r="AG36" i="4" s="1"/>
  <c r="R31" i="4"/>
  <c r="B31" i="4"/>
  <c r="A31" i="4"/>
  <c r="AX30" i="4"/>
  <c r="AH30" i="4"/>
  <c r="R30" i="4"/>
  <c r="B30" i="4"/>
  <c r="A30" i="4"/>
  <c r="AZ28" i="4"/>
  <c r="AJ28" i="4"/>
  <c r="T28" i="4"/>
  <c r="D28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E27" i="4"/>
  <c r="AD27" i="4"/>
  <c r="AC27" i="4"/>
  <c r="AB27" i="4"/>
  <c r="AA27" i="4"/>
  <c r="Z27" i="4"/>
  <c r="Y27" i="4"/>
  <c r="X27" i="4"/>
  <c r="W27" i="4"/>
  <c r="V27" i="4"/>
  <c r="U27" i="4"/>
  <c r="T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AW24" i="4"/>
  <c r="AG24" i="4"/>
  <c r="Q24" i="4"/>
  <c r="A24" i="4"/>
  <c r="D20" i="4"/>
  <c r="D13" i="4"/>
  <c r="C10" i="4"/>
  <c r="AX49" i="3"/>
  <c r="B49" i="3"/>
  <c r="B48" i="3"/>
  <c r="B47" i="3"/>
  <c r="AX45" i="3"/>
  <c r="AW45" i="3"/>
  <c r="AH45" i="3"/>
  <c r="AG45" i="3"/>
  <c r="R45" i="3"/>
  <c r="Q45" i="3"/>
  <c r="B45" i="3"/>
  <c r="A45" i="3"/>
  <c r="AX44" i="3"/>
  <c r="AW44" i="3"/>
  <c r="AH44" i="3"/>
  <c r="AG44" i="3"/>
  <c r="R44" i="3"/>
  <c r="Q44" i="3"/>
  <c r="B44" i="3"/>
  <c r="A44" i="3"/>
  <c r="AX43" i="3"/>
  <c r="AW43" i="3"/>
  <c r="AR21" i="5"/>
  <c r="AQ21" i="5"/>
  <c r="AP21" i="5"/>
  <c r="AO21" i="5"/>
  <c r="AN21" i="5"/>
  <c r="AM21" i="5"/>
  <c r="AL21" i="5"/>
  <c r="AK21" i="5"/>
  <c r="AH43" i="3"/>
  <c r="AG43" i="3"/>
  <c r="AE21" i="5"/>
  <c r="AD21" i="5"/>
  <c r="AC21" i="5"/>
  <c r="AB21" i="5"/>
  <c r="AA21" i="5"/>
  <c r="Z21" i="5"/>
  <c r="Y21" i="5"/>
  <c r="X21" i="5"/>
  <c r="W21" i="5"/>
  <c r="V21" i="5"/>
  <c r="U21" i="5"/>
  <c r="R43" i="3"/>
  <c r="Q43" i="3"/>
  <c r="O21" i="5"/>
  <c r="N21" i="5"/>
  <c r="M21" i="5"/>
  <c r="L21" i="5"/>
  <c r="K21" i="5"/>
  <c r="J21" i="5"/>
  <c r="I21" i="5"/>
  <c r="H21" i="5"/>
  <c r="G21" i="5"/>
  <c r="F21" i="5"/>
  <c r="E21" i="5"/>
  <c r="B43" i="3"/>
  <c r="A43" i="3"/>
  <c r="AX42" i="3"/>
  <c r="AW42" i="3"/>
  <c r="AH42" i="3"/>
  <c r="AG42" i="3"/>
  <c r="R42" i="3"/>
  <c r="Q42" i="3"/>
  <c r="B42" i="3"/>
  <c r="A42" i="3"/>
  <c r="AX40" i="3"/>
  <c r="AW40" i="3"/>
  <c r="AH40" i="3"/>
  <c r="AG40" i="3"/>
  <c r="R40" i="3"/>
  <c r="Q40" i="3"/>
  <c r="B40" i="3"/>
  <c r="A40" i="3"/>
  <c r="AW39" i="3"/>
  <c r="AG39" i="3"/>
  <c r="R39" i="3"/>
  <c r="Q39" i="3"/>
  <c r="AW38" i="3"/>
  <c r="AG38" i="3"/>
  <c r="R38" i="3"/>
  <c r="Q38" i="3"/>
  <c r="AX36" i="3"/>
  <c r="AH36" i="3"/>
  <c r="R36" i="3"/>
  <c r="B36" i="3"/>
  <c r="A36" i="3"/>
  <c r="AX35" i="3"/>
  <c r="AH35" i="3"/>
  <c r="R35" i="3"/>
  <c r="B35" i="3"/>
  <c r="A35" i="3"/>
  <c r="AX34" i="3"/>
  <c r="AH34" i="3"/>
  <c r="R34" i="3"/>
  <c r="B34" i="3"/>
  <c r="A34" i="3"/>
  <c r="AX33" i="3"/>
  <c r="AH33" i="3"/>
  <c r="R33" i="3"/>
  <c r="B33" i="3"/>
  <c r="A33" i="3"/>
  <c r="R32" i="3"/>
  <c r="B32" i="3"/>
  <c r="A32" i="3"/>
  <c r="AX31" i="3"/>
  <c r="AH31" i="3"/>
  <c r="AG31" i="3"/>
  <c r="AG33" i="3" s="1"/>
  <c r="AG34" i="3" s="1"/>
  <c r="AG35" i="3" s="1"/>
  <c r="AG36" i="3" s="1"/>
  <c r="R31" i="3"/>
  <c r="B31" i="3"/>
  <c r="A31" i="3"/>
  <c r="AX30" i="3"/>
  <c r="AH30" i="3"/>
  <c r="R30" i="3"/>
  <c r="B30" i="3"/>
  <c r="A30" i="3"/>
  <c r="AZ28" i="3"/>
  <c r="BA28" i="3" s="1"/>
  <c r="BB28" i="3" s="1"/>
  <c r="BC28" i="3" s="1"/>
  <c r="BD28" i="3" s="1"/>
  <c r="BE28" i="3" s="1"/>
  <c r="BF28" i="3" s="1"/>
  <c r="BG28" i="3" s="1"/>
  <c r="BH28" i="3" s="1"/>
  <c r="BI28" i="3" s="1"/>
  <c r="BJ28" i="3" s="1"/>
  <c r="BK28" i="3" s="1"/>
  <c r="AY28" i="3"/>
  <c r="AJ28" i="3"/>
  <c r="T28" i="3"/>
  <c r="D28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E27" i="3"/>
  <c r="AD27" i="3"/>
  <c r="AC27" i="3"/>
  <c r="AB27" i="3"/>
  <c r="AA27" i="3"/>
  <c r="Z27" i="3"/>
  <c r="Y27" i="3"/>
  <c r="X27" i="3"/>
  <c r="W27" i="3"/>
  <c r="V27" i="3"/>
  <c r="U27" i="3"/>
  <c r="T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AW24" i="3"/>
  <c r="AG24" i="3"/>
  <c r="Q24" i="3"/>
  <c r="A24" i="3"/>
  <c r="D20" i="3"/>
  <c r="D13" i="3"/>
  <c r="C10" i="3"/>
  <c r="R49" i="2"/>
  <c r="R49" i="3" s="1"/>
  <c r="R48" i="2"/>
  <c r="AX47" i="2"/>
  <c r="AH47" i="2"/>
  <c r="R47" i="2"/>
  <c r="AZ45" i="3"/>
  <c r="AJ45" i="3"/>
  <c r="T45" i="3"/>
  <c r="AF43" i="2"/>
  <c r="P43" i="2"/>
  <c r="AX39" i="2"/>
  <c r="AH39" i="2"/>
  <c r="AX38" i="2"/>
  <c r="AH38" i="2"/>
  <c r="AV32" i="2"/>
  <c r="AZ28" i="2"/>
  <c r="AJ28" i="2"/>
  <c r="AI28" i="2"/>
  <c r="AI6" i="5" s="1"/>
  <c r="T28" i="2"/>
  <c r="D28" i="2"/>
  <c r="C28" i="2"/>
  <c r="C6" i="5" s="1"/>
  <c r="AY27" i="2"/>
  <c r="AI27" i="2"/>
  <c r="S27" i="2"/>
  <c r="AW24" i="2"/>
  <c r="AG24" i="2"/>
  <c r="Q24" i="2"/>
  <c r="A24" i="2"/>
  <c r="C10" i="2"/>
  <c r="C22" i="1"/>
  <c r="F20" i="1"/>
  <c r="D20" i="1"/>
  <c r="F11" i="1"/>
  <c r="E11" i="1"/>
  <c r="D11" i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3" i="1"/>
  <c r="AK28" i="3" l="1"/>
  <c r="AL28" i="3" s="1"/>
  <c r="AM28" i="3" s="1"/>
  <c r="AN28" i="3" s="1"/>
  <c r="AO28" i="3" s="1"/>
  <c r="AP28" i="3" s="1"/>
  <c r="AQ28" i="3" s="1"/>
  <c r="AR28" i="3" s="1"/>
  <c r="AS28" i="3" s="1"/>
  <c r="AT28" i="3" s="1"/>
  <c r="AU28" i="3" s="1"/>
  <c r="AI28" i="3"/>
  <c r="U28" i="3"/>
  <c r="V28" i="3" s="1"/>
  <c r="W28" i="3" s="1"/>
  <c r="X28" i="3" s="1"/>
  <c r="Y28" i="3" s="1"/>
  <c r="Z28" i="3" s="1"/>
  <c r="AA28" i="3" s="1"/>
  <c r="AB28" i="3" s="1"/>
  <c r="AC28" i="3" s="1"/>
  <c r="AD28" i="3" s="1"/>
  <c r="AE28" i="3" s="1"/>
  <c r="S28" i="3"/>
  <c r="E28" i="3"/>
  <c r="F28" i="3" s="1"/>
  <c r="G28" i="3" s="1"/>
  <c r="H28" i="3" s="1"/>
  <c r="I28" i="3" s="1"/>
  <c r="J28" i="3" s="1"/>
  <c r="K28" i="3" s="1"/>
  <c r="L28" i="3" s="1"/>
  <c r="M28" i="3" s="1"/>
  <c r="N28" i="3" s="1"/>
  <c r="O28" i="3" s="1"/>
  <c r="C28" i="3"/>
  <c r="R48" i="3"/>
  <c r="R48" i="4"/>
  <c r="AX24" i="5"/>
  <c r="AX47" i="4"/>
  <c r="AX47" i="3"/>
  <c r="AH24" i="5"/>
  <c r="AH47" i="3"/>
  <c r="AH47" i="4"/>
  <c r="R24" i="5"/>
  <c r="R47" i="3"/>
  <c r="R47" i="4"/>
  <c r="BA28" i="2"/>
  <c r="AY28" i="2"/>
  <c r="AY6" i="5" s="1"/>
  <c r="AZ6" i="5"/>
  <c r="AK28" i="2"/>
  <c r="AJ6" i="5"/>
  <c r="U28" i="2"/>
  <c r="U6" i="5" s="1"/>
  <c r="T6" i="5"/>
  <c r="S28" i="2"/>
  <c r="S6" i="5" s="1"/>
  <c r="E28" i="2"/>
  <c r="D6" i="5"/>
  <c r="BA28" i="4"/>
  <c r="BB28" i="4" s="1"/>
  <c r="BC28" i="4" s="1"/>
  <c r="BD28" i="4" s="1"/>
  <c r="BE28" i="4" s="1"/>
  <c r="BF28" i="4" s="1"/>
  <c r="BG28" i="4" s="1"/>
  <c r="BH28" i="4" s="1"/>
  <c r="BI28" i="4" s="1"/>
  <c r="BJ28" i="4" s="1"/>
  <c r="BK28" i="4" s="1"/>
  <c r="AY28" i="4"/>
  <c r="AI28" i="4"/>
  <c r="AK28" i="4"/>
  <c r="AL28" i="4" s="1"/>
  <c r="AM28" i="4" s="1"/>
  <c r="AN28" i="4" s="1"/>
  <c r="AO28" i="4" s="1"/>
  <c r="AP28" i="4" s="1"/>
  <c r="AQ28" i="4" s="1"/>
  <c r="AR28" i="4" s="1"/>
  <c r="AS28" i="4" s="1"/>
  <c r="AT28" i="4" s="1"/>
  <c r="AU28" i="4" s="1"/>
  <c r="S28" i="4"/>
  <c r="U28" i="4"/>
  <c r="V28" i="4" s="1"/>
  <c r="W28" i="4" s="1"/>
  <c r="X28" i="4" s="1"/>
  <c r="Y28" i="4" s="1"/>
  <c r="Z28" i="4" s="1"/>
  <c r="AA28" i="4" s="1"/>
  <c r="AB28" i="4" s="1"/>
  <c r="AC28" i="4" s="1"/>
  <c r="AD28" i="4" s="1"/>
  <c r="AE28" i="4" s="1"/>
  <c r="E28" i="4"/>
  <c r="F28" i="4" s="1"/>
  <c r="G28" i="4" s="1"/>
  <c r="H28" i="4" s="1"/>
  <c r="I28" i="4" s="1"/>
  <c r="J28" i="4" s="1"/>
  <c r="K28" i="4" s="1"/>
  <c r="L28" i="4" s="1"/>
  <c r="M28" i="4" s="1"/>
  <c r="N28" i="4" s="1"/>
  <c r="O28" i="4" s="1"/>
  <c r="C28" i="4"/>
  <c r="C22" i="5"/>
  <c r="AJ21" i="5"/>
  <c r="T21" i="5"/>
  <c r="AF21" i="5" s="1"/>
  <c r="AF43" i="3"/>
  <c r="P43" i="3"/>
  <c r="D21" i="5"/>
  <c r="P21" i="5" s="1"/>
  <c r="R26" i="5"/>
  <c r="AX49" i="2"/>
  <c r="AX26" i="5" s="1"/>
  <c r="R25" i="5"/>
  <c r="AH48" i="2"/>
  <c r="D45" i="4"/>
  <c r="D45" i="3"/>
  <c r="AX17" i="5"/>
  <c r="AX39" i="3"/>
  <c r="AX39" i="4"/>
  <c r="AH39" i="3"/>
  <c r="AH39" i="4"/>
  <c r="AH17" i="5"/>
  <c r="AX16" i="5"/>
  <c r="AX38" i="3"/>
  <c r="AX38" i="4"/>
  <c r="AH16" i="5"/>
  <c r="AH38" i="4"/>
  <c r="AH38" i="3"/>
  <c r="BB28" i="2"/>
  <c r="BA6" i="5"/>
  <c r="AL28" i="2"/>
  <c r="AK6" i="5"/>
  <c r="V28" i="2"/>
  <c r="AY27" i="3"/>
  <c r="AY27" i="4"/>
  <c r="AY5" i="5"/>
  <c r="AI27" i="3"/>
  <c r="AI5" i="5"/>
  <c r="AI27" i="4"/>
  <c r="S27" i="3"/>
  <c r="S27" i="4"/>
  <c r="S5" i="5"/>
  <c r="F28" i="2" l="1"/>
  <c r="E6" i="5"/>
  <c r="D36" i="2"/>
  <c r="AX48" i="2"/>
  <c r="AH48" i="3"/>
  <c r="AH25" i="5"/>
  <c r="AH48" i="4"/>
  <c r="BC28" i="2"/>
  <c r="BB6" i="5"/>
  <c r="BA45" i="3"/>
  <c r="BA45" i="4"/>
  <c r="AM28" i="2"/>
  <c r="AL6" i="5"/>
  <c r="AK45" i="3"/>
  <c r="AK45" i="4"/>
  <c r="W28" i="2"/>
  <c r="V6" i="5"/>
  <c r="U45" i="3"/>
  <c r="U45" i="4"/>
  <c r="G28" i="2"/>
  <c r="F6" i="5"/>
  <c r="E45" i="3"/>
  <c r="E45" i="4"/>
  <c r="D18" i="5" l="1"/>
  <c r="D36" i="3"/>
  <c r="D8" i="5"/>
  <c r="D9" i="5"/>
  <c r="D11" i="5"/>
  <c r="D12" i="5"/>
  <c r="D13" i="5"/>
  <c r="D36" i="4"/>
  <c r="D42" i="2"/>
  <c r="AX48" i="3"/>
  <c r="AX25" i="5"/>
  <c r="AX48" i="4"/>
  <c r="BD28" i="2"/>
  <c r="BC6" i="5"/>
  <c r="BB45" i="3"/>
  <c r="BB45" i="4"/>
  <c r="AN28" i="2"/>
  <c r="AM6" i="5"/>
  <c r="AL45" i="3"/>
  <c r="AL45" i="4"/>
  <c r="X28" i="2"/>
  <c r="W6" i="5"/>
  <c r="V45" i="3"/>
  <c r="V45" i="4"/>
  <c r="H28" i="2"/>
  <c r="G6" i="5"/>
  <c r="F45" i="3"/>
  <c r="F45" i="4"/>
  <c r="E36" i="2"/>
  <c r="U38" i="2" l="1"/>
  <c r="T36" i="2"/>
  <c r="T38" i="2"/>
  <c r="F36" i="2"/>
  <c r="F42" i="2" s="1"/>
  <c r="E36" i="3"/>
  <c r="E42" i="3" s="1"/>
  <c r="E8" i="5"/>
  <c r="D42" i="3"/>
  <c r="D14" i="5"/>
  <c r="D42" i="4"/>
  <c r="D44" i="2"/>
  <c r="BE28" i="2"/>
  <c r="BD6" i="5"/>
  <c r="BC45" i="3"/>
  <c r="BC45" i="4"/>
  <c r="AO28" i="2"/>
  <c r="AN6" i="5"/>
  <c r="AM45" i="3"/>
  <c r="AM45" i="4"/>
  <c r="Y28" i="2"/>
  <c r="X6" i="5"/>
  <c r="W45" i="3"/>
  <c r="W45" i="4"/>
  <c r="I28" i="2"/>
  <c r="H6" i="5"/>
  <c r="G45" i="3"/>
  <c r="G45" i="4"/>
  <c r="E36" i="4"/>
  <c r="E9" i="5"/>
  <c r="E11" i="5"/>
  <c r="E13" i="5"/>
  <c r="E12" i="5"/>
  <c r="E18" i="5"/>
  <c r="E42" i="2"/>
  <c r="E44" i="2" l="1"/>
  <c r="F44" i="2" s="1"/>
  <c r="U38" i="4"/>
  <c r="T36" i="3"/>
  <c r="T8" i="5"/>
  <c r="T9" i="5"/>
  <c r="T11" i="5"/>
  <c r="T12" i="5"/>
  <c r="T13" i="5"/>
  <c r="T17" i="5"/>
  <c r="T18" i="5"/>
  <c r="T38" i="3"/>
  <c r="T38" i="4"/>
  <c r="T36" i="4"/>
  <c r="T42" i="2"/>
  <c r="AJ36" i="2"/>
  <c r="AJ38" i="2"/>
  <c r="F18" i="5"/>
  <c r="F36" i="3"/>
  <c r="F8" i="5"/>
  <c r="F9" i="5"/>
  <c r="F11" i="5"/>
  <c r="F12" i="5"/>
  <c r="F13" i="5"/>
  <c r="F36" i="4"/>
  <c r="F42" i="4" s="1"/>
  <c r="D44" i="3"/>
  <c r="D20" i="5"/>
  <c r="D44" i="4"/>
  <c r="BF28" i="2"/>
  <c r="BE6" i="5"/>
  <c r="BD45" i="3"/>
  <c r="BD45" i="4"/>
  <c r="AP28" i="2"/>
  <c r="AO6" i="5"/>
  <c r="AN45" i="3"/>
  <c r="AN45" i="4"/>
  <c r="Z28" i="2"/>
  <c r="Y6" i="5"/>
  <c r="X45" i="3"/>
  <c r="X45" i="4"/>
  <c r="J28" i="2"/>
  <c r="I6" i="5"/>
  <c r="H45" i="3"/>
  <c r="H45" i="4"/>
  <c r="E14" i="5"/>
  <c r="G36" i="2"/>
  <c r="U36" i="2"/>
  <c r="U42" i="2" s="1"/>
  <c r="E42" i="4"/>
  <c r="E44" i="4" l="1"/>
  <c r="F44" i="4" s="1"/>
  <c r="W38" i="2"/>
  <c r="V36" i="2"/>
  <c r="V38" i="2"/>
  <c r="U38" i="3"/>
  <c r="U18" i="5"/>
  <c r="U36" i="3"/>
  <c r="U42" i="3" s="1"/>
  <c r="U8" i="5"/>
  <c r="T42" i="3"/>
  <c r="T14" i="5"/>
  <c r="T16" i="5"/>
  <c r="T42" i="4"/>
  <c r="AK38" i="4"/>
  <c r="AJ17" i="5"/>
  <c r="AJ38" i="3"/>
  <c r="AJ18" i="5"/>
  <c r="AJ36" i="3"/>
  <c r="AJ8" i="5"/>
  <c r="AJ9" i="5"/>
  <c r="AJ11" i="5"/>
  <c r="AJ12" i="5"/>
  <c r="AJ13" i="5"/>
  <c r="AJ38" i="4"/>
  <c r="AJ36" i="4"/>
  <c r="AJ42" i="2"/>
  <c r="H36" i="2"/>
  <c r="G36" i="3"/>
  <c r="G42" i="3" s="1"/>
  <c r="G8" i="5"/>
  <c r="F42" i="3"/>
  <c r="F14" i="5"/>
  <c r="D22" i="5"/>
  <c r="E44" i="3"/>
  <c r="BG28" i="2"/>
  <c r="BF6" i="5"/>
  <c r="BE45" i="3"/>
  <c r="BE45" i="4"/>
  <c r="AQ28" i="2"/>
  <c r="AP6" i="5"/>
  <c r="AO45" i="3"/>
  <c r="AO45" i="4"/>
  <c r="AA28" i="2"/>
  <c r="Z6" i="5"/>
  <c r="Y45" i="3"/>
  <c r="Y45" i="4"/>
  <c r="K28" i="2"/>
  <c r="J6" i="5"/>
  <c r="I45" i="3"/>
  <c r="I45" i="4"/>
  <c r="G42" i="2"/>
  <c r="G44" i="2" s="1"/>
  <c r="U11" i="5"/>
  <c r="G11" i="5"/>
  <c r="G36" i="4"/>
  <c r="U9" i="5"/>
  <c r="U17" i="5"/>
  <c r="G12" i="5"/>
  <c r="U13" i="5"/>
  <c r="AK36" i="2"/>
  <c r="AK42" i="2" s="1"/>
  <c r="U12" i="5"/>
  <c r="U36" i="4"/>
  <c r="G9" i="5"/>
  <c r="AK38" i="2"/>
  <c r="G18" i="5"/>
  <c r="G13" i="5"/>
  <c r="E20" i="5"/>
  <c r="V18" i="5" l="1"/>
  <c r="V38" i="3"/>
  <c r="V36" i="3"/>
  <c r="V8" i="5"/>
  <c r="V9" i="5"/>
  <c r="V11" i="5"/>
  <c r="V12" i="5"/>
  <c r="V13" i="5"/>
  <c r="V17" i="5"/>
  <c r="V36" i="4"/>
  <c r="V38" i="4"/>
  <c r="V42" i="2"/>
  <c r="T20" i="5"/>
  <c r="AL36" i="2"/>
  <c r="AK18" i="5"/>
  <c r="AK38" i="3"/>
  <c r="AK16" i="5" s="1"/>
  <c r="AK36" i="3"/>
  <c r="AK42" i="3" s="1"/>
  <c r="AK8" i="5"/>
  <c r="AJ16" i="5"/>
  <c r="AJ42" i="3"/>
  <c r="AJ14" i="5"/>
  <c r="AJ42" i="4"/>
  <c r="P31" i="2"/>
  <c r="I12" i="5"/>
  <c r="H36" i="3"/>
  <c r="H8" i="5"/>
  <c r="H9" i="5"/>
  <c r="H11" i="5"/>
  <c r="H12" i="5"/>
  <c r="H36" i="4"/>
  <c r="F44" i="3"/>
  <c r="E22" i="5"/>
  <c r="BH28" i="2"/>
  <c r="BG6" i="5"/>
  <c r="BF45" i="3"/>
  <c r="BF45" i="4"/>
  <c r="AR28" i="2"/>
  <c r="AQ6" i="5"/>
  <c r="AP45" i="3"/>
  <c r="AP45" i="4"/>
  <c r="AB28" i="2"/>
  <c r="AA6" i="5"/>
  <c r="Z45" i="3"/>
  <c r="Z45" i="4"/>
  <c r="L28" i="2"/>
  <c r="K6" i="5"/>
  <c r="J45" i="3"/>
  <c r="J45" i="4"/>
  <c r="G42" i="4"/>
  <c r="G44" i="4" s="1"/>
  <c r="AZ36" i="2"/>
  <c r="AZ38" i="2"/>
  <c r="AK12" i="5"/>
  <c r="AK13" i="5"/>
  <c r="H13" i="5"/>
  <c r="G14" i="5"/>
  <c r="AK9" i="5"/>
  <c r="AK17" i="5"/>
  <c r="AK36" i="4"/>
  <c r="AK42" i="4" s="1"/>
  <c r="W36" i="2"/>
  <c r="W42" i="2" s="1"/>
  <c r="I36" i="2"/>
  <c r="AK11" i="5"/>
  <c r="U16" i="5"/>
  <c r="U14" i="5"/>
  <c r="U20" i="5" s="1"/>
  <c r="AL38" i="2"/>
  <c r="H18" i="5"/>
  <c r="H42" i="2"/>
  <c r="H44" i="2" s="1"/>
  <c r="F20" i="5"/>
  <c r="U42" i="4"/>
  <c r="AK14" i="5" l="1"/>
  <c r="AK20" i="5" s="1"/>
  <c r="Y38" i="2"/>
  <c r="X36" i="2"/>
  <c r="X38" i="2"/>
  <c r="W18" i="5"/>
  <c r="W38" i="3"/>
  <c r="W36" i="3"/>
  <c r="W42" i="3" s="1"/>
  <c r="W8" i="5"/>
  <c r="V42" i="3"/>
  <c r="AM38" i="4"/>
  <c r="AL17" i="5"/>
  <c r="AL38" i="3"/>
  <c r="AL18" i="5"/>
  <c r="AL36" i="3"/>
  <c r="AL8" i="5"/>
  <c r="AL9" i="5"/>
  <c r="AL11" i="5"/>
  <c r="AL12" i="5"/>
  <c r="AL13" i="5"/>
  <c r="AL36" i="4"/>
  <c r="AL38" i="4"/>
  <c r="AL42" i="2"/>
  <c r="AJ20" i="5"/>
  <c r="P31" i="4"/>
  <c r="J36" i="2"/>
  <c r="I36" i="3"/>
  <c r="I42" i="3" s="1"/>
  <c r="I8" i="5"/>
  <c r="I13" i="5"/>
  <c r="H42" i="3"/>
  <c r="H14" i="5"/>
  <c r="G44" i="3"/>
  <c r="F22" i="5"/>
  <c r="BI28" i="2"/>
  <c r="BH6" i="5"/>
  <c r="BG45" i="3"/>
  <c r="BG45" i="4"/>
  <c r="AS28" i="2"/>
  <c r="AR6" i="5"/>
  <c r="AQ45" i="3"/>
  <c r="AQ45" i="4"/>
  <c r="AC28" i="2"/>
  <c r="AB6" i="5"/>
  <c r="AA45" i="3"/>
  <c r="AA45" i="4"/>
  <c r="M28" i="2"/>
  <c r="L6" i="5"/>
  <c r="K45" i="3"/>
  <c r="K45" i="4"/>
  <c r="AZ42" i="2"/>
  <c r="AZ38" i="3"/>
  <c r="AZ18" i="5"/>
  <c r="AZ9" i="5"/>
  <c r="AZ11" i="5"/>
  <c r="AZ13" i="5"/>
  <c r="AZ8" i="5"/>
  <c r="AZ36" i="3"/>
  <c r="AZ12" i="5"/>
  <c r="AZ17" i="5"/>
  <c r="AZ36" i="4"/>
  <c r="AZ38" i="4"/>
  <c r="BB36" i="2"/>
  <c r="BB42" i="2" s="1"/>
  <c r="W17" i="5"/>
  <c r="BB38" i="2"/>
  <c r="I18" i="5"/>
  <c r="I9" i="5"/>
  <c r="I36" i="4"/>
  <c r="I42" i="4" s="1"/>
  <c r="BA38" i="2"/>
  <c r="W36" i="4"/>
  <c r="W42" i="4" s="1"/>
  <c r="BA36" i="2"/>
  <c r="BA42" i="2" s="1"/>
  <c r="AM36" i="2"/>
  <c r="AM42" i="2" s="1"/>
  <c r="I11" i="5"/>
  <c r="W9" i="5"/>
  <c r="W11" i="5"/>
  <c r="W12" i="5"/>
  <c r="W13" i="5"/>
  <c r="W38" i="4"/>
  <c r="V16" i="5"/>
  <c r="V14" i="5"/>
  <c r="V42" i="4"/>
  <c r="AM38" i="2"/>
  <c r="H42" i="4"/>
  <c r="H44" i="4" s="1"/>
  <c r="G20" i="5"/>
  <c r="I42" i="2"/>
  <c r="I44" i="2" s="1"/>
  <c r="I44" i="4" l="1"/>
  <c r="AF31" i="2"/>
  <c r="X36" i="3"/>
  <c r="X8" i="5"/>
  <c r="X9" i="5"/>
  <c r="X11" i="5"/>
  <c r="X12" i="5"/>
  <c r="X13" i="5"/>
  <c r="X17" i="5"/>
  <c r="X18" i="5"/>
  <c r="X38" i="3"/>
  <c r="X36" i="4"/>
  <c r="X42" i="2"/>
  <c r="AN36" i="2"/>
  <c r="AM36" i="3"/>
  <c r="AM42" i="3" s="1"/>
  <c r="AM8" i="5"/>
  <c r="AM18" i="5"/>
  <c r="AM38" i="3"/>
  <c r="AM16" i="5" s="1"/>
  <c r="AL16" i="5"/>
  <c r="AL42" i="3"/>
  <c r="AL14" i="5"/>
  <c r="AL42" i="4"/>
  <c r="J18" i="5"/>
  <c r="J36" i="3"/>
  <c r="J8" i="5"/>
  <c r="P31" i="3"/>
  <c r="J9" i="5"/>
  <c r="P9" i="5" s="1"/>
  <c r="J11" i="5"/>
  <c r="J12" i="5"/>
  <c r="J36" i="4"/>
  <c r="H44" i="3"/>
  <c r="G22" i="5"/>
  <c r="BJ28" i="2"/>
  <c r="BI6" i="5"/>
  <c r="BH45" i="3"/>
  <c r="BH45" i="4"/>
  <c r="AT28" i="2"/>
  <c r="AS6" i="5"/>
  <c r="AR45" i="3"/>
  <c r="AR45" i="4"/>
  <c r="AD28" i="2"/>
  <c r="AC6" i="5"/>
  <c r="AB45" i="3"/>
  <c r="AB45" i="4"/>
  <c r="N28" i="2"/>
  <c r="M6" i="5"/>
  <c r="L45" i="3"/>
  <c r="L45" i="4"/>
  <c r="AZ16" i="5"/>
  <c r="AZ14" i="5"/>
  <c r="AZ42" i="3"/>
  <c r="AZ42" i="4"/>
  <c r="V20" i="5"/>
  <c r="BA18" i="5"/>
  <c r="BA38" i="3"/>
  <c r="BA8" i="5"/>
  <c r="BA36" i="3"/>
  <c r="BA42" i="3" s="1"/>
  <c r="Y36" i="2"/>
  <c r="AM13" i="5"/>
  <c r="AM36" i="4"/>
  <c r="AM42" i="4" s="1"/>
  <c r="I14" i="5"/>
  <c r="I20" i="5" s="1"/>
  <c r="K36" i="2"/>
  <c r="K42" i="2" s="1"/>
  <c r="BA12" i="5"/>
  <c r="BA38" i="4"/>
  <c r="BA11" i="5"/>
  <c r="BA13" i="5"/>
  <c r="BA17" i="5"/>
  <c r="BA9" i="5"/>
  <c r="BA36" i="4"/>
  <c r="BA42" i="4" s="1"/>
  <c r="X38" i="4"/>
  <c r="W16" i="5"/>
  <c r="W14" i="5"/>
  <c r="W20" i="5" s="1"/>
  <c r="AN38" i="2"/>
  <c r="AM17" i="5"/>
  <c r="AM9" i="5"/>
  <c r="AM11" i="5"/>
  <c r="AM12" i="5"/>
  <c r="J13" i="5"/>
  <c r="J42" i="2"/>
  <c r="J44" i="2" s="1"/>
  <c r="K44" i="2" s="1"/>
  <c r="H20" i="5"/>
  <c r="X16" i="5" l="1"/>
  <c r="AM14" i="5"/>
  <c r="AM20" i="5" s="1"/>
  <c r="AA38" i="2"/>
  <c r="AF31" i="4"/>
  <c r="Z36" i="2"/>
  <c r="Z38" i="2"/>
  <c r="Y38" i="3"/>
  <c r="Y18" i="5"/>
  <c r="Y36" i="3"/>
  <c r="Y42" i="3" s="1"/>
  <c r="Y8" i="5"/>
  <c r="X42" i="3"/>
  <c r="X42" i="4"/>
  <c r="AO38" i="4"/>
  <c r="AN38" i="3"/>
  <c r="AN18" i="5"/>
  <c r="AN36" i="3"/>
  <c r="AN8" i="5"/>
  <c r="AN13" i="5"/>
  <c r="AN36" i="4"/>
  <c r="AN38" i="4"/>
  <c r="AN42" i="2"/>
  <c r="AL20" i="5"/>
  <c r="L36" i="2"/>
  <c r="K36" i="3"/>
  <c r="K42" i="3" s="1"/>
  <c r="K8" i="5"/>
  <c r="K10" i="5"/>
  <c r="J42" i="3"/>
  <c r="J14" i="5"/>
  <c r="J42" i="4"/>
  <c r="J44" i="4" s="1"/>
  <c r="I44" i="3"/>
  <c r="H22" i="5"/>
  <c r="BK28" i="2"/>
  <c r="BJ6" i="5"/>
  <c r="BI45" i="3"/>
  <c r="BI45" i="4"/>
  <c r="AU28" i="2"/>
  <c r="AT6" i="5"/>
  <c r="AS45" i="3"/>
  <c r="AS45" i="4"/>
  <c r="AE28" i="2"/>
  <c r="AD6" i="5"/>
  <c r="AC45" i="3"/>
  <c r="AC45" i="4"/>
  <c r="O28" i="2"/>
  <c r="N6" i="5"/>
  <c r="M45" i="3"/>
  <c r="M45" i="4"/>
  <c r="AZ20" i="5"/>
  <c r="BC36" i="2"/>
  <c r="BC38" i="2"/>
  <c r="BB11" i="5"/>
  <c r="BB17" i="5"/>
  <c r="BB12" i="5"/>
  <c r="BB8" i="5"/>
  <c r="BB36" i="3"/>
  <c r="BB9" i="5"/>
  <c r="BB13" i="5"/>
  <c r="BB38" i="3"/>
  <c r="BB18" i="5"/>
  <c r="BB38" i="4"/>
  <c r="BB36" i="4"/>
  <c r="AO36" i="2"/>
  <c r="AO42" i="2" s="1"/>
  <c r="AN17" i="5"/>
  <c r="AN9" i="5"/>
  <c r="AN11" i="5"/>
  <c r="K13" i="5"/>
  <c r="BA16" i="5"/>
  <c r="BA14" i="5"/>
  <c r="K12" i="5"/>
  <c r="K36" i="4"/>
  <c r="Y9" i="5"/>
  <c r="X14" i="5"/>
  <c r="AN12" i="5"/>
  <c r="K18" i="5"/>
  <c r="Y11" i="5"/>
  <c r="Y17" i="5"/>
  <c r="Y36" i="4"/>
  <c r="Y42" i="4" s="1"/>
  <c r="K11" i="5"/>
  <c r="Y12" i="5"/>
  <c r="Y13" i="5"/>
  <c r="Y38" i="4"/>
  <c r="AO38" i="2"/>
  <c r="Y42" i="2"/>
  <c r="Z18" i="5" l="1"/>
  <c r="Z38" i="3"/>
  <c r="Z17" i="5"/>
  <c r="Z36" i="3"/>
  <c r="Z8" i="5"/>
  <c r="AF31" i="3"/>
  <c r="Z9" i="5"/>
  <c r="AF9" i="5" s="1"/>
  <c r="Z11" i="5"/>
  <c r="Z12" i="5"/>
  <c r="Z13" i="5"/>
  <c r="Z36" i="4"/>
  <c r="Y16" i="5"/>
  <c r="Y14" i="5"/>
  <c r="AP36" i="2"/>
  <c r="AO17" i="5"/>
  <c r="AO38" i="3"/>
  <c r="AO16" i="5" s="1"/>
  <c r="AO18" i="5"/>
  <c r="AO36" i="3"/>
  <c r="AO42" i="3" s="1"/>
  <c r="AO8" i="5"/>
  <c r="AO9" i="5"/>
  <c r="AO11" i="5"/>
  <c r="AO12" i="5"/>
  <c r="AN16" i="5"/>
  <c r="AN42" i="3"/>
  <c r="AN14" i="5"/>
  <c r="AN42" i="4"/>
  <c r="BD38" i="3"/>
  <c r="BD18" i="5"/>
  <c r="BD36" i="3"/>
  <c r="BD8" i="5"/>
  <c r="L18" i="5"/>
  <c r="L36" i="3"/>
  <c r="L8" i="5"/>
  <c r="L11" i="5"/>
  <c r="L12" i="5"/>
  <c r="L13" i="5"/>
  <c r="L36" i="4"/>
  <c r="L42" i="2"/>
  <c r="L44" i="2" s="1"/>
  <c r="J20" i="5"/>
  <c r="J44" i="3"/>
  <c r="I22" i="5"/>
  <c r="BK6" i="5"/>
  <c r="BJ45" i="3"/>
  <c r="BJ45" i="4"/>
  <c r="AU6" i="5"/>
  <c r="AT45" i="3"/>
  <c r="AT45" i="4"/>
  <c r="AE6" i="5"/>
  <c r="AD45" i="3"/>
  <c r="AD45" i="4"/>
  <c r="O6" i="5"/>
  <c r="N45" i="3"/>
  <c r="N45" i="4"/>
  <c r="BC42" i="2"/>
  <c r="BB14" i="5"/>
  <c r="BB20" i="5" s="1"/>
  <c r="BB42" i="3"/>
  <c r="BB16" i="5"/>
  <c r="BB42" i="4"/>
  <c r="X20" i="5"/>
  <c r="BC8" i="5"/>
  <c r="BC36" i="3"/>
  <c r="BC42" i="3" s="1"/>
  <c r="BC18" i="5"/>
  <c r="BC38" i="3"/>
  <c r="AA36" i="2"/>
  <c r="AA42" i="2" s="1"/>
  <c r="BD9" i="5"/>
  <c r="BD12" i="5"/>
  <c r="BD13" i="5"/>
  <c r="M36" i="2"/>
  <c r="M42" i="2" s="1"/>
  <c r="AO13" i="5"/>
  <c r="L10" i="5"/>
  <c r="K14" i="5"/>
  <c r="AO36" i="4"/>
  <c r="AO42" i="4" s="1"/>
  <c r="BD38" i="2"/>
  <c r="BC13" i="5"/>
  <c r="BC11" i="5"/>
  <c r="BC17" i="5"/>
  <c r="BC36" i="4"/>
  <c r="BC42" i="4" s="1"/>
  <c r="BD36" i="2"/>
  <c r="BD42" i="2" s="1"/>
  <c r="BC12" i="5"/>
  <c r="BC9" i="5"/>
  <c r="BC38" i="4"/>
  <c r="Z38" i="4"/>
  <c r="Z42" i="2"/>
  <c r="AP38" i="2"/>
  <c r="BD11" i="5"/>
  <c r="BA20" i="5"/>
  <c r="K42" i="4"/>
  <c r="K44" i="4" s="1"/>
  <c r="M44" i="2" l="1"/>
  <c r="AC38" i="2"/>
  <c r="AB10" i="5"/>
  <c r="AB36" i="2"/>
  <c r="AB38" i="2"/>
  <c r="AA36" i="3"/>
  <c r="AA8" i="5"/>
  <c r="AA10" i="5"/>
  <c r="AA18" i="5"/>
  <c r="AA38" i="3"/>
  <c r="Z42" i="3"/>
  <c r="Z42" i="4"/>
  <c r="AQ38" i="4"/>
  <c r="AP18" i="5"/>
  <c r="AP38" i="3"/>
  <c r="AP36" i="3"/>
  <c r="AP8" i="5"/>
  <c r="AP13" i="5"/>
  <c r="AP36" i="4"/>
  <c r="AP38" i="4"/>
  <c r="AP42" i="2"/>
  <c r="AN20" i="5"/>
  <c r="P32" i="2"/>
  <c r="P33" i="2"/>
  <c r="P34" i="2"/>
  <c r="P35" i="2"/>
  <c r="P40" i="2"/>
  <c r="P30" i="2"/>
  <c r="N36" i="2"/>
  <c r="M36" i="3"/>
  <c r="M42" i="3" s="1"/>
  <c r="M8" i="5"/>
  <c r="M10" i="5"/>
  <c r="L42" i="3"/>
  <c r="L14" i="5"/>
  <c r="L20" i="5" s="1"/>
  <c r="K44" i="3"/>
  <c r="J22" i="5"/>
  <c r="BK45" i="3"/>
  <c r="BK45" i="4"/>
  <c r="AU45" i="3"/>
  <c r="AU45" i="4"/>
  <c r="AE45" i="3"/>
  <c r="AE45" i="4"/>
  <c r="O45" i="3"/>
  <c r="O45" i="4"/>
  <c r="BE36" i="2"/>
  <c r="BE38" i="2"/>
  <c r="BD17" i="5"/>
  <c r="BD38" i="4"/>
  <c r="BD36" i="4"/>
  <c r="AA11" i="5"/>
  <c r="AP9" i="5"/>
  <c r="BD14" i="5"/>
  <c r="BD20" i="5" s="1"/>
  <c r="M36" i="4"/>
  <c r="M42" i="4" s="1"/>
  <c r="AA17" i="5"/>
  <c r="AP11" i="5"/>
  <c r="BC14" i="5"/>
  <c r="BC16" i="5"/>
  <c r="AQ36" i="2"/>
  <c r="AQ42" i="2" s="1"/>
  <c r="AP12" i="5"/>
  <c r="AP17" i="5"/>
  <c r="AA13" i="5"/>
  <c r="AO14" i="5"/>
  <c r="AO20" i="5" s="1"/>
  <c r="AA12" i="5"/>
  <c r="AA38" i="4"/>
  <c r="AA36" i="4"/>
  <c r="AA42" i="4" s="1"/>
  <c r="Z16" i="5"/>
  <c r="Z14" i="5"/>
  <c r="Z20" i="5" s="1"/>
  <c r="Y20" i="5"/>
  <c r="AQ38" i="2"/>
  <c r="BD42" i="3"/>
  <c r="M18" i="5"/>
  <c r="M11" i="5"/>
  <c r="M12" i="5"/>
  <c r="M13" i="5"/>
  <c r="L42" i="4"/>
  <c r="L44" i="4" s="1"/>
  <c r="K20" i="5"/>
  <c r="M44" i="4" l="1"/>
  <c r="AB38" i="3"/>
  <c r="AB18" i="5"/>
  <c r="AB17" i="5"/>
  <c r="AB36" i="3"/>
  <c r="AB42" i="3" s="1"/>
  <c r="AB8" i="5"/>
  <c r="AB11" i="5"/>
  <c r="AB12" i="5"/>
  <c r="AB13" i="5"/>
  <c r="AB42" i="2"/>
  <c r="AR36" i="2"/>
  <c r="AQ38" i="3"/>
  <c r="AQ16" i="5" s="1"/>
  <c r="AQ18" i="5"/>
  <c r="AQ17" i="5"/>
  <c r="AQ36" i="3"/>
  <c r="AQ42" i="3" s="1"/>
  <c r="AQ8" i="5"/>
  <c r="AQ9" i="5"/>
  <c r="AQ11" i="5"/>
  <c r="AQ12" i="5"/>
  <c r="AP16" i="5"/>
  <c r="AP42" i="3"/>
  <c r="AP14" i="5"/>
  <c r="AP42" i="4"/>
  <c r="P33" i="4"/>
  <c r="P32" i="4"/>
  <c r="P35" i="4"/>
  <c r="P40" i="4"/>
  <c r="P34" i="4"/>
  <c r="P30" i="3"/>
  <c r="N36" i="3"/>
  <c r="N8" i="5"/>
  <c r="P30" i="4"/>
  <c r="N36" i="4"/>
  <c r="N42" i="2"/>
  <c r="N44" i="2" s="1"/>
  <c r="L44" i="3"/>
  <c r="K22" i="5"/>
  <c r="BE42" i="2"/>
  <c r="BD16" i="5"/>
  <c r="BD42" i="4"/>
  <c r="BC20" i="5"/>
  <c r="BE13" i="5"/>
  <c r="BE12" i="5"/>
  <c r="BE11" i="5"/>
  <c r="BE9" i="5"/>
  <c r="BE8" i="5"/>
  <c r="BE36" i="3"/>
  <c r="BE17" i="5"/>
  <c r="BE38" i="3"/>
  <c r="BE18" i="5"/>
  <c r="AB36" i="4"/>
  <c r="N13" i="5"/>
  <c r="AQ36" i="4"/>
  <c r="AQ42" i="4" s="1"/>
  <c r="O36" i="2"/>
  <c r="N10" i="5"/>
  <c r="N11" i="5"/>
  <c r="M14" i="5"/>
  <c r="BE36" i="4"/>
  <c r="BE42" i="4" s="1"/>
  <c r="AC36" i="2"/>
  <c r="AA14" i="5"/>
  <c r="N12" i="5"/>
  <c r="BF36" i="2"/>
  <c r="BF42" i="2" s="1"/>
  <c r="BE38" i="4"/>
  <c r="AQ13" i="5"/>
  <c r="N18" i="5"/>
  <c r="AB38" i="4"/>
  <c r="AA42" i="3"/>
  <c r="AA16" i="5"/>
  <c r="AR38" i="2"/>
  <c r="BF38" i="2"/>
  <c r="AB16" i="5" l="1"/>
  <c r="O42" i="2"/>
  <c r="O44" i="2" s="1"/>
  <c r="S44" i="2" s="1"/>
  <c r="T44" i="2" s="1"/>
  <c r="U44" i="2" s="1"/>
  <c r="V44" i="2" s="1"/>
  <c r="W44" i="2" s="1"/>
  <c r="X44" i="2" s="1"/>
  <c r="Y44" i="2" s="1"/>
  <c r="Z44" i="2" s="1"/>
  <c r="AA44" i="2" s="1"/>
  <c r="AB44" i="2" s="1"/>
  <c r="P36" i="2"/>
  <c r="AF39" i="2"/>
  <c r="AF32" i="2"/>
  <c r="AF33" i="2"/>
  <c r="AF34" i="2"/>
  <c r="AF35" i="2"/>
  <c r="AE38" i="2"/>
  <c r="AF30" i="2"/>
  <c r="AD36" i="2"/>
  <c r="AF40" i="2"/>
  <c r="AD38" i="2"/>
  <c r="AF38" i="2" s="1"/>
  <c r="AC18" i="5"/>
  <c r="AC38" i="3"/>
  <c r="AC36" i="3"/>
  <c r="AC8" i="5"/>
  <c r="AC10" i="5"/>
  <c r="AC36" i="4"/>
  <c r="AB14" i="5"/>
  <c r="AR36" i="3"/>
  <c r="AR8" i="5"/>
  <c r="AR13" i="5"/>
  <c r="AR18" i="5"/>
  <c r="AR38" i="3"/>
  <c r="AR36" i="4"/>
  <c r="AR38" i="4"/>
  <c r="AR42" i="2"/>
  <c r="AP20" i="5"/>
  <c r="BH38" i="4"/>
  <c r="P40" i="3"/>
  <c r="O18" i="5"/>
  <c r="P18" i="5" s="1"/>
  <c r="O36" i="3"/>
  <c r="O42" i="3" s="1"/>
  <c r="O8" i="5"/>
  <c r="P32" i="3"/>
  <c r="O10" i="5"/>
  <c r="P10" i="5" s="1"/>
  <c r="P33" i="3"/>
  <c r="O11" i="5"/>
  <c r="P11" i="5" s="1"/>
  <c r="P34" i="3"/>
  <c r="O12" i="5"/>
  <c r="P12" i="5" s="1"/>
  <c r="P35" i="3"/>
  <c r="O13" i="5"/>
  <c r="P13" i="5" s="1"/>
  <c r="P36" i="3"/>
  <c r="N42" i="3"/>
  <c r="P8" i="5"/>
  <c r="N14" i="5"/>
  <c r="P36" i="4"/>
  <c r="N42" i="4"/>
  <c r="N44" i="4" s="1"/>
  <c r="M44" i="3"/>
  <c r="L22" i="5"/>
  <c r="BE14" i="5"/>
  <c r="BE42" i="3"/>
  <c r="BE16" i="5"/>
  <c r="AB42" i="4"/>
  <c r="M20" i="5"/>
  <c r="AA20" i="5"/>
  <c r="BG36" i="2"/>
  <c r="BF18" i="5"/>
  <c r="BF38" i="3"/>
  <c r="BF8" i="5"/>
  <c r="BF36" i="3"/>
  <c r="BF38" i="4"/>
  <c r="BF36" i="4"/>
  <c r="AC13" i="5"/>
  <c r="AR12" i="5"/>
  <c r="O36" i="4"/>
  <c r="O42" i="4" s="1"/>
  <c r="BF13" i="5"/>
  <c r="BG38" i="2"/>
  <c r="BF11" i="5"/>
  <c r="BF17" i="5"/>
  <c r="BF9" i="5"/>
  <c r="BF12" i="5"/>
  <c r="AR9" i="5"/>
  <c r="AQ14" i="5"/>
  <c r="AQ20" i="5" s="1"/>
  <c r="AC11" i="5"/>
  <c r="AC17" i="5"/>
  <c r="AR17" i="5"/>
  <c r="AR11" i="5"/>
  <c r="AC12" i="5"/>
  <c r="AC38" i="4"/>
  <c r="AC42" i="2"/>
  <c r="AC44" i="2" l="1"/>
  <c r="O44" i="4"/>
  <c r="AF33" i="3"/>
  <c r="AF34" i="3"/>
  <c r="AF35" i="3"/>
  <c r="AF34" i="4"/>
  <c r="AF33" i="4"/>
  <c r="AF35" i="4"/>
  <c r="AF39" i="4"/>
  <c r="AF32" i="4"/>
  <c r="AF40" i="3"/>
  <c r="AD18" i="5"/>
  <c r="AD38" i="3"/>
  <c r="AF39" i="3"/>
  <c r="AD17" i="5"/>
  <c r="AF30" i="3"/>
  <c r="AD36" i="3"/>
  <c r="AD42" i="3" s="1"/>
  <c r="AD8" i="5"/>
  <c r="AD11" i="5"/>
  <c r="AD12" i="5"/>
  <c r="AD13" i="5"/>
  <c r="AC16" i="5"/>
  <c r="AC42" i="3"/>
  <c r="AT38" i="4"/>
  <c r="AR42" i="3"/>
  <c r="AR14" i="5"/>
  <c r="AR16" i="5"/>
  <c r="AR42" i="4"/>
  <c r="S44" i="4"/>
  <c r="N44" i="3"/>
  <c r="M22" i="5"/>
  <c r="BE20" i="5"/>
  <c r="BG42" i="2"/>
  <c r="BF42" i="4"/>
  <c r="AS36" i="2"/>
  <c r="AS38" i="2"/>
  <c r="BH38" i="2"/>
  <c r="BG17" i="5"/>
  <c r="BG8" i="5"/>
  <c r="BG36" i="3"/>
  <c r="BG42" i="3" s="1"/>
  <c r="BG9" i="5"/>
  <c r="BG11" i="5"/>
  <c r="BG12" i="5"/>
  <c r="BG13" i="5"/>
  <c r="BG38" i="3"/>
  <c r="BG18" i="5"/>
  <c r="O14" i="5"/>
  <c r="BF16" i="5"/>
  <c r="BF14" i="5"/>
  <c r="BH36" i="2"/>
  <c r="AD36" i="4"/>
  <c r="AE36" i="2"/>
  <c r="BG36" i="4"/>
  <c r="BG38" i="4"/>
  <c r="AD10" i="5"/>
  <c r="AD38" i="4"/>
  <c r="AD42" i="2"/>
  <c r="AD44" i="2" s="1"/>
  <c r="AC14" i="5"/>
  <c r="AC20" i="5" s="1"/>
  <c r="AC42" i="4"/>
  <c r="AB20" i="5"/>
  <c r="BH36" i="4"/>
  <c r="BH42" i="4" s="1"/>
  <c r="N20" i="5"/>
  <c r="BF42" i="3"/>
  <c r="AD16" i="5" l="1"/>
  <c r="O20" i="5"/>
  <c r="P14" i="5"/>
  <c r="AE18" i="5"/>
  <c r="AF18" i="5" s="1"/>
  <c r="AE38" i="3"/>
  <c r="AE36" i="3"/>
  <c r="AE8" i="5"/>
  <c r="AF32" i="3"/>
  <c r="AE10" i="5"/>
  <c r="AF10" i="5" s="1"/>
  <c r="AF30" i="4"/>
  <c r="AE36" i="4"/>
  <c r="AE42" i="4" s="1"/>
  <c r="AV30" i="4"/>
  <c r="AT18" i="5"/>
  <c r="AT38" i="3"/>
  <c r="AT36" i="3"/>
  <c r="AT42" i="3" s="1"/>
  <c r="AT8" i="5"/>
  <c r="AR20" i="5"/>
  <c r="T44" i="4"/>
  <c r="U44" i="4" s="1"/>
  <c r="V44" i="4" s="1"/>
  <c r="W44" i="4" s="1"/>
  <c r="X44" i="4" s="1"/>
  <c r="Y44" i="4" s="1"/>
  <c r="Z44" i="4" s="1"/>
  <c r="AA44" i="4" s="1"/>
  <c r="AB44" i="4" s="1"/>
  <c r="AC44" i="4" s="1"/>
  <c r="O44" i="3"/>
  <c r="N22" i="5"/>
  <c r="AS42" i="2"/>
  <c r="BG14" i="5"/>
  <c r="BG20" i="5" s="1"/>
  <c r="BG16" i="5"/>
  <c r="AS12" i="5"/>
  <c r="AS13" i="5"/>
  <c r="AS9" i="5"/>
  <c r="AS8" i="5"/>
  <c r="AS36" i="3"/>
  <c r="AS17" i="5"/>
  <c r="AS18" i="5"/>
  <c r="AS38" i="3"/>
  <c r="AS11" i="5"/>
  <c r="AS38" i="4"/>
  <c r="AS36" i="4"/>
  <c r="BI36" i="2"/>
  <c r="BI42" i="2" s="1"/>
  <c r="BH8" i="5"/>
  <c r="BH36" i="3"/>
  <c r="BH18" i="5"/>
  <c r="BH38" i="3"/>
  <c r="BH16" i="5" s="1"/>
  <c r="AD14" i="5"/>
  <c r="AT36" i="2"/>
  <c r="AT42" i="2" s="1"/>
  <c r="AE13" i="5"/>
  <c r="AF13" i="5" s="1"/>
  <c r="AV39" i="2"/>
  <c r="AT17" i="5"/>
  <c r="AE17" i="5"/>
  <c r="AF17" i="5" s="1"/>
  <c r="AE11" i="5"/>
  <c r="AF11" i="5" s="1"/>
  <c r="AE12" i="5"/>
  <c r="AF12" i="5" s="1"/>
  <c r="AE38" i="4"/>
  <c r="AF38" i="4" s="1"/>
  <c r="AF40" i="4"/>
  <c r="AV31" i="2"/>
  <c r="AV33" i="2"/>
  <c r="AV34" i="2"/>
  <c r="AV35" i="2"/>
  <c r="AU38" i="2"/>
  <c r="BJ38" i="2"/>
  <c r="BF20" i="5"/>
  <c r="BH42" i="2"/>
  <c r="AD42" i="4"/>
  <c r="AF36" i="4"/>
  <c r="AE42" i="2"/>
  <c r="AE44" i="2" s="1"/>
  <c r="AF36" i="2"/>
  <c r="BG42" i="4"/>
  <c r="AT38" i="2"/>
  <c r="AV38" i="2" s="1"/>
  <c r="AV40" i="2"/>
  <c r="BI38" i="2"/>
  <c r="BH12" i="5"/>
  <c r="BH11" i="5"/>
  <c r="BH9" i="5"/>
  <c r="BH17" i="5"/>
  <c r="BH13" i="5"/>
  <c r="BH14" i="5" l="1"/>
  <c r="AT16" i="5"/>
  <c r="AD44" i="4"/>
  <c r="AE44" i="4" s="1"/>
  <c r="AI44" i="4" s="1"/>
  <c r="AF38" i="3"/>
  <c r="AE16" i="5"/>
  <c r="AF16" i="5" s="1"/>
  <c r="AF36" i="3"/>
  <c r="AE42" i="3"/>
  <c r="AF8" i="5"/>
  <c r="AE14" i="5"/>
  <c r="BL30" i="4"/>
  <c r="E10" i="4" s="1"/>
  <c r="F9" i="1" s="1"/>
  <c r="BK38" i="4"/>
  <c r="S44" i="3"/>
  <c r="O22" i="5"/>
  <c r="AS14" i="5"/>
  <c r="AS42" i="3"/>
  <c r="AS16" i="5"/>
  <c r="AS42" i="4"/>
  <c r="BH42" i="3"/>
  <c r="AD20" i="5"/>
  <c r="AV30" i="2"/>
  <c r="AU36" i="2"/>
  <c r="AT9" i="5"/>
  <c r="AT36" i="4"/>
  <c r="AT42" i="4" s="1"/>
  <c r="AV31" i="4"/>
  <c r="AT13" i="5"/>
  <c r="AT11" i="5"/>
  <c r="AV33" i="4"/>
  <c r="AT12" i="5"/>
  <c r="BI8" i="5"/>
  <c r="BI36" i="3"/>
  <c r="BI42" i="3" s="1"/>
  <c r="BI38" i="3"/>
  <c r="BI18" i="5"/>
  <c r="BI38" i="4"/>
  <c r="BI36" i="4"/>
  <c r="AI44" i="2"/>
  <c r="BI13" i="5"/>
  <c r="BH20" i="5"/>
  <c r="BJ36" i="2"/>
  <c r="BI12" i="5"/>
  <c r="BI11" i="5"/>
  <c r="BI17" i="5"/>
  <c r="AV34" i="4"/>
  <c r="AV35" i="4"/>
  <c r="AV39" i="4"/>
  <c r="BL34" i="2"/>
  <c r="BL33" i="2"/>
  <c r="BL35" i="2"/>
  <c r="BL39" i="2"/>
  <c r="BL31" i="2"/>
  <c r="BL40" i="3"/>
  <c r="D10" i="3" s="1"/>
  <c r="BI9" i="5"/>
  <c r="AE20" i="5" l="1"/>
  <c r="AF14" i="5"/>
  <c r="F10" i="2"/>
  <c r="D10" i="1" s="1"/>
  <c r="BK38" i="3"/>
  <c r="BK18" i="5"/>
  <c r="AJ44" i="4"/>
  <c r="AK44" i="4" s="1"/>
  <c r="AL44" i="4" s="1"/>
  <c r="AM44" i="4" s="1"/>
  <c r="AN44" i="4" s="1"/>
  <c r="AO44" i="4" s="1"/>
  <c r="AP44" i="4" s="1"/>
  <c r="AQ44" i="4" s="1"/>
  <c r="AR44" i="4" s="1"/>
  <c r="T44" i="3"/>
  <c r="U44" i="3" s="1"/>
  <c r="V44" i="3" s="1"/>
  <c r="W44" i="3" s="1"/>
  <c r="X44" i="3" s="1"/>
  <c r="Y44" i="3" s="1"/>
  <c r="Z44" i="3" s="1"/>
  <c r="AA44" i="3" s="1"/>
  <c r="AB44" i="3" s="1"/>
  <c r="AC44" i="3" s="1"/>
  <c r="AD44" i="3" s="1"/>
  <c r="AE44" i="3" s="1"/>
  <c r="S22" i="5"/>
  <c r="T22" i="5" s="1"/>
  <c r="U22" i="5" s="1"/>
  <c r="V22" i="5" s="1"/>
  <c r="W22" i="5" s="1"/>
  <c r="X22" i="5" s="1"/>
  <c r="Y22" i="5" s="1"/>
  <c r="Z22" i="5" s="1"/>
  <c r="AA22" i="5" s="1"/>
  <c r="AB22" i="5" s="1"/>
  <c r="AC22" i="5" s="1"/>
  <c r="AD22" i="5" s="1"/>
  <c r="AE22" i="5" s="1"/>
  <c r="AS20" i="5"/>
  <c r="AV36" i="2"/>
  <c r="AU42" i="2"/>
  <c r="AT14" i="5"/>
  <c r="BI14" i="5"/>
  <c r="BI16" i="5"/>
  <c r="E8" i="1"/>
  <c r="BI42" i="4"/>
  <c r="AJ44" i="2"/>
  <c r="AK44" i="2" s="1"/>
  <c r="AL44" i="2" s="1"/>
  <c r="AM44" i="2" s="1"/>
  <c r="AN44" i="2" s="1"/>
  <c r="AO44" i="2" s="1"/>
  <c r="AP44" i="2" s="1"/>
  <c r="AQ44" i="2" s="1"/>
  <c r="AR44" i="2" s="1"/>
  <c r="BJ42" i="2"/>
  <c r="AV39" i="3"/>
  <c r="AU17" i="5"/>
  <c r="AV17" i="5" s="1"/>
  <c r="AV33" i="3"/>
  <c r="AU11" i="5"/>
  <c r="AV11" i="5" s="1"/>
  <c r="AU38" i="3"/>
  <c r="AU18" i="5"/>
  <c r="AV18" i="5" s="1"/>
  <c r="AV40" i="3"/>
  <c r="AV35" i="3"/>
  <c r="AU13" i="5"/>
  <c r="AV13" i="5" s="1"/>
  <c r="AV34" i="3"/>
  <c r="AU12" i="5"/>
  <c r="AV12" i="5" s="1"/>
  <c r="AV31" i="3"/>
  <c r="AU9" i="5"/>
  <c r="AV9" i="5" s="1"/>
  <c r="AU8" i="5"/>
  <c r="AU36" i="3"/>
  <c r="AV30" i="3"/>
  <c r="AV40" i="4"/>
  <c r="AU38" i="4"/>
  <c r="AV38" i="4" s="1"/>
  <c r="BL40" i="2"/>
  <c r="D10" i="2" s="1"/>
  <c r="BK38" i="2"/>
  <c r="BL38" i="2" s="1"/>
  <c r="BL30" i="2"/>
  <c r="E10" i="2" s="1"/>
  <c r="D9" i="1" s="1"/>
  <c r="BK36" i="2"/>
  <c r="BJ11" i="5"/>
  <c r="BJ12" i="5"/>
  <c r="BJ13" i="5"/>
  <c r="BL39" i="3"/>
  <c r="BJ17" i="5"/>
  <c r="BJ38" i="3"/>
  <c r="BL38" i="3" s="1"/>
  <c r="BJ18" i="5"/>
  <c r="BL18" i="5" s="1"/>
  <c r="BJ8" i="5"/>
  <c r="BJ36" i="3"/>
  <c r="AU36" i="4"/>
  <c r="BJ36" i="4"/>
  <c r="BL39" i="4"/>
  <c r="BL33" i="4"/>
  <c r="BK17" i="5"/>
  <c r="BL31" i="3"/>
  <c r="BL34" i="3"/>
  <c r="BL35" i="3"/>
  <c r="BL35" i="4"/>
  <c r="BL34" i="4"/>
  <c r="BJ9" i="5"/>
  <c r="BJ38" i="4"/>
  <c r="BL38" i="4" s="1"/>
  <c r="BL40" i="4"/>
  <c r="D10" i="4" s="1"/>
  <c r="BJ16" i="5" l="1"/>
  <c r="BJ14" i="5"/>
  <c r="BJ20" i="5" s="1"/>
  <c r="BK42" i="2"/>
  <c r="BL36" i="2"/>
  <c r="AS43" i="4"/>
  <c r="AS44" i="4" s="1"/>
  <c r="AI44" i="3"/>
  <c r="BI20" i="5"/>
  <c r="AS43" i="2"/>
  <c r="AS44" i="2" s="1"/>
  <c r="AV38" i="3"/>
  <c r="AU16" i="5"/>
  <c r="AV16" i="5" s="1"/>
  <c r="AV8" i="5"/>
  <c r="AU14" i="5"/>
  <c r="AU20" i="5" s="1"/>
  <c r="AV36" i="3"/>
  <c r="AU42" i="3"/>
  <c r="D8" i="1"/>
  <c r="BJ42" i="3"/>
  <c r="AV36" i="4"/>
  <c r="AU42" i="4"/>
  <c r="BK8" i="5"/>
  <c r="BK36" i="3"/>
  <c r="BL30" i="3"/>
  <c r="E10" i="3" s="1"/>
  <c r="BK36" i="4"/>
  <c r="BK42" i="4" s="1"/>
  <c r="BL31" i="4"/>
  <c r="F8" i="1"/>
  <c r="BK12" i="5"/>
  <c r="BL12" i="5" s="1"/>
  <c r="BL17" i="5"/>
  <c r="BK9" i="5"/>
  <c r="BL9" i="5" s="1"/>
  <c r="BK13" i="5"/>
  <c r="BL13" i="5" s="1"/>
  <c r="F10" i="4"/>
  <c r="BK16" i="5"/>
  <c r="BL16" i="5" s="1"/>
  <c r="AT20" i="5"/>
  <c r="AV14" i="5"/>
  <c r="BJ42" i="4"/>
  <c r="BL36" i="4"/>
  <c r="BK11" i="5"/>
  <c r="BL11" i="5" s="1"/>
  <c r="BL33" i="3"/>
  <c r="F10" i="3" s="1"/>
  <c r="E10" i="1" s="1"/>
  <c r="AT43" i="4" l="1"/>
  <c r="AT44" i="4"/>
  <c r="AJ44" i="3"/>
  <c r="AK44" i="3" s="1"/>
  <c r="AL44" i="3" s="1"/>
  <c r="AM44" i="3" s="1"/>
  <c r="AN44" i="3" s="1"/>
  <c r="AO44" i="3" s="1"/>
  <c r="AP44" i="3" s="1"/>
  <c r="AQ44" i="3" s="1"/>
  <c r="AR44" i="3" s="1"/>
  <c r="AI22" i="5"/>
  <c r="AJ22" i="5" s="1"/>
  <c r="AK22" i="5" s="1"/>
  <c r="AL22" i="5" s="1"/>
  <c r="AM22" i="5" s="1"/>
  <c r="AN22" i="5" s="1"/>
  <c r="AO22" i="5" s="1"/>
  <c r="AP22" i="5" s="1"/>
  <c r="AQ22" i="5" s="1"/>
  <c r="AR22" i="5" s="1"/>
  <c r="AT43" i="2"/>
  <c r="AT44" i="2" s="1"/>
  <c r="BL8" i="5"/>
  <c r="BK14" i="5"/>
  <c r="E9" i="1"/>
  <c r="BK42" i="3"/>
  <c r="BL36" i="3"/>
  <c r="F10" i="1"/>
  <c r="AU43" i="4" l="1"/>
  <c r="AS43" i="3"/>
  <c r="AS44" i="3" s="1"/>
  <c r="AU43" i="2"/>
  <c r="BL14" i="5"/>
  <c r="BK20" i="5"/>
  <c r="AV43" i="4" l="1"/>
  <c r="AU44" i="4"/>
  <c r="AY44" i="4"/>
  <c r="H10" i="4"/>
  <c r="AT43" i="3"/>
  <c r="AS21" i="5"/>
  <c r="AV43" i="2"/>
  <c r="AU44" i="2"/>
  <c r="AZ43" i="4" l="1"/>
  <c r="AZ44" i="4" s="1"/>
  <c r="F12" i="1"/>
  <c r="AS22" i="5"/>
  <c r="H10" i="2"/>
  <c r="AY44" i="2"/>
  <c r="AT21" i="5"/>
  <c r="AT44" i="3"/>
  <c r="AT22" i="5" l="1"/>
  <c r="BA43" i="4"/>
  <c r="BA44" i="4" s="1"/>
  <c r="D12" i="1"/>
  <c r="AZ43" i="2"/>
  <c r="AZ44" i="2" s="1"/>
  <c r="AU43" i="3"/>
  <c r="AU44" i="3" s="1"/>
  <c r="BB43" i="4" l="1"/>
  <c r="BB44" i="4"/>
  <c r="BA43" i="2"/>
  <c r="BA44" i="2" s="1"/>
  <c r="AV43" i="3"/>
  <c r="AU21" i="5"/>
  <c r="AY44" i="3"/>
  <c r="H10" i="3"/>
  <c r="BC43" i="4" l="1"/>
  <c r="BC44" i="4"/>
  <c r="BB43" i="2"/>
  <c r="BB44" i="2" s="1"/>
  <c r="AV21" i="5"/>
  <c r="AU22" i="5"/>
  <c r="AY22" i="5"/>
  <c r="AZ43" i="3"/>
  <c r="AZ44" i="3" s="1"/>
  <c r="E12" i="1"/>
  <c r="BD43" i="4" l="1"/>
  <c r="BD44" i="4" s="1"/>
  <c r="BC43" i="2"/>
  <c r="BC44" i="2" s="1"/>
  <c r="BA43" i="3"/>
  <c r="AZ21" i="5"/>
  <c r="BA21" i="5" l="1"/>
  <c r="BA44" i="3"/>
  <c r="BE43" i="4"/>
  <c r="BE44" i="4" s="1"/>
  <c r="BD43" i="2"/>
  <c r="BD44" i="2" s="1"/>
  <c r="BB43" i="3"/>
  <c r="BB44" i="3" s="1"/>
  <c r="AZ22" i="5"/>
  <c r="BA22" i="5" s="1"/>
  <c r="BF43" i="4" l="1"/>
  <c r="BF44" i="4"/>
  <c r="BE43" i="2"/>
  <c r="BE44" i="2" s="1"/>
  <c r="BC43" i="3"/>
  <c r="BB21" i="5"/>
  <c r="BG43" i="4" l="1"/>
  <c r="BG44" i="4" s="1"/>
  <c r="BF43" i="2"/>
  <c r="BF44" i="2" s="1"/>
  <c r="BB22" i="5"/>
  <c r="BC21" i="5"/>
  <c r="BC44" i="3"/>
  <c r="BC22" i="5" l="1"/>
  <c r="BH43" i="4"/>
  <c r="BH44" i="4" s="1"/>
  <c r="BG43" i="2"/>
  <c r="BG44" i="2" s="1"/>
  <c r="BD43" i="3"/>
  <c r="BD44" i="3" s="1"/>
  <c r="BI43" i="4" l="1"/>
  <c r="BI44" i="4"/>
  <c r="BH43" i="2"/>
  <c r="BH44" i="2" s="1"/>
  <c r="BD21" i="5"/>
  <c r="BE43" i="3"/>
  <c r="BJ43" i="4" l="1"/>
  <c r="BJ44" i="4" s="1"/>
  <c r="BI43" i="2"/>
  <c r="BI44" i="2" s="1"/>
  <c r="BD22" i="5"/>
  <c r="BE21" i="5"/>
  <c r="BE44" i="3"/>
  <c r="BE22" i="5" l="1"/>
  <c r="BK43" i="4"/>
  <c r="BL43" i="4" s="1"/>
  <c r="I10" i="4" s="1"/>
  <c r="BK44" i="4"/>
  <c r="BJ43" i="2"/>
  <c r="BJ44" i="2" s="1"/>
  <c r="BF43" i="3"/>
  <c r="BF44" i="3" s="1"/>
  <c r="J10" i="4" l="1"/>
  <c r="F13" i="1"/>
  <c r="F14" i="1" s="1"/>
  <c r="BK43" i="2"/>
  <c r="BF21" i="5"/>
  <c r="BG43" i="3"/>
  <c r="F16" i="1" l="1"/>
  <c r="BF22" i="5"/>
  <c r="BL43" i="2"/>
  <c r="I10" i="2" s="1"/>
  <c r="BK44" i="2"/>
  <c r="BG21" i="5"/>
  <c r="BG44" i="3"/>
  <c r="BG22" i="5" l="1"/>
  <c r="J10" i="2"/>
  <c r="D13" i="1"/>
  <c r="D14" i="1" s="1"/>
  <c r="BH43" i="3"/>
  <c r="BH44" i="3" s="1"/>
  <c r="D16" i="1" l="1"/>
  <c r="BH21" i="5"/>
  <c r="BI43" i="3"/>
  <c r="BH22" i="5" l="1"/>
  <c r="BI21" i="5"/>
  <c r="BI44" i="3"/>
  <c r="BI22" i="5" l="1"/>
  <c r="BJ43" i="3"/>
  <c r="BJ44" i="3" s="1"/>
  <c r="BJ21" i="5" l="1"/>
  <c r="BK43" i="3"/>
  <c r="BJ22" i="5" l="1"/>
  <c r="BK21" i="5"/>
  <c r="BL21" i="5" s="1"/>
  <c r="BK44" i="3"/>
  <c r="BL43" i="3"/>
  <c r="I10" i="3" s="1"/>
  <c r="BK22" i="5" l="1"/>
  <c r="J10" i="3"/>
  <c r="E13" i="1"/>
  <c r="E14" i="1" s="1"/>
  <c r="F18" i="1" l="1"/>
  <c r="F19" i="1" s="1"/>
  <c r="F22" i="1" s="1"/>
  <c r="D18" i="1"/>
  <c r="D19" i="1" s="1"/>
  <c r="D22" i="1" s="1"/>
  <c r="E22" i="1" s="1"/>
</calcChain>
</file>

<file path=xl/sharedStrings.xml><?xml version="1.0" encoding="utf-8"?>
<sst xmlns="http://schemas.openxmlformats.org/spreadsheetml/2006/main" count="609" uniqueCount="127">
  <si>
    <t>Cape Light Compact JPE</t>
  </si>
  <si>
    <t>$ in Thousands</t>
  </si>
  <si>
    <t>Line</t>
  </si>
  <si>
    <t>Item</t>
  </si>
  <si>
    <t>Residential</t>
  </si>
  <si>
    <t>Residential 
Low Income</t>
  </si>
  <si>
    <t>Commercial &amp; Industrial</t>
  </si>
  <si>
    <t>Reference</t>
  </si>
  <si>
    <t>Col. A</t>
  </si>
  <si>
    <t>Col. B</t>
  </si>
  <si>
    <t>Col. C</t>
  </si>
  <si>
    <t>Program Expenditures</t>
  </si>
  <si>
    <t>Residential - C&amp;I Energy Efficiency Revenue Requirement, Col. B</t>
  </si>
  <si>
    <t>SBC Revenue</t>
  </si>
  <si>
    <t>Residential - C&amp;I Energy Efficiency Revenue Requirement, Col. C</t>
  </si>
  <si>
    <t>Other Revenue</t>
  </si>
  <si>
    <t>Residential - C&amp;I Energy Efficiency Revenue Requirement, Col. D</t>
  </si>
  <si>
    <t>Forecasted EERF Revenue</t>
  </si>
  <si>
    <t>Residential - C&amp;I Energy Efficiency Revenue Requirement, Col. E</t>
  </si>
  <si>
    <t>Prior Year Deferral w/ Interest</t>
  </si>
  <si>
    <t>Residential - C&amp;I Energy Efficiency Revenue Requirement, Col. F</t>
  </si>
  <si>
    <t>Interest on Deferral</t>
  </si>
  <si>
    <t>Residential - C&amp;I Energy Efficiency Revenue Requirement, Col. G</t>
  </si>
  <si>
    <t>Revenue Requirement</t>
  </si>
  <si>
    <t>Sum of Lines 1 through 6</t>
  </si>
  <si>
    <t>Forecasted kWh</t>
  </si>
  <si>
    <t>kWh Sales Forecast for Jan 1, 2027 through Dec 31, 2027</t>
  </si>
  <si>
    <t xml:space="preserve">EERF before Low Income Allocation </t>
  </si>
  <si>
    <t>Line 7 * 1000 / Line 8</t>
  </si>
  <si>
    <t>Low Income Allocation %</t>
  </si>
  <si>
    <t>See D.P.U. 22-22</t>
  </si>
  <si>
    <t>Low Income Rev. Req. Allocation</t>
  </si>
  <si>
    <t>Line 10 * Col. B, Line 7</t>
  </si>
  <si>
    <t xml:space="preserve">Revenue Requirement </t>
  </si>
  <si>
    <t>Line 7 + Line 11</t>
  </si>
  <si>
    <t>Col. A, Line 8 + Col. B, Line 8</t>
  </si>
  <si>
    <t xml:space="preserve"> </t>
  </si>
  <si>
    <t>Line 12 * 1000 / Line 13</t>
  </si>
  <si>
    <t>FCM, RGGI,</t>
  </si>
  <si>
    <t>Past Period</t>
  </si>
  <si>
    <t>EE</t>
  </si>
  <si>
    <t>EE Charge</t>
  </si>
  <si>
    <t xml:space="preserve">&amp; Other </t>
  </si>
  <si>
    <t>Forecasted</t>
  </si>
  <si>
    <t>Reconciliation</t>
  </si>
  <si>
    <t>Interest</t>
  </si>
  <si>
    <t>Total</t>
  </si>
  <si>
    <t>Year</t>
  </si>
  <si>
    <t>Expenses</t>
  </si>
  <si>
    <t>Revenues</t>
  </si>
  <si>
    <t>EERF Revenues</t>
  </si>
  <si>
    <t>with Interest</t>
  </si>
  <si>
    <t>on Deferral</t>
  </si>
  <si>
    <t>EERF</t>
  </si>
  <si>
    <t>Col. D</t>
  </si>
  <si>
    <t>Col. E</t>
  </si>
  <si>
    <t>Col. F</t>
  </si>
  <si>
    <t>Col. G</t>
  </si>
  <si>
    <t>Col. H</t>
  </si>
  <si>
    <t>EEE</t>
  </si>
  <si>
    <t>EEC</t>
  </si>
  <si>
    <t>OR</t>
  </si>
  <si>
    <t>PPRA</t>
  </si>
  <si>
    <t>I</t>
  </si>
  <si>
    <t>Col. A:</t>
  </si>
  <si>
    <t>Effective year (January 1, 2027 - December 31, 2027).</t>
  </si>
  <si>
    <t>Col. B:</t>
  </si>
  <si>
    <t>Col. C:</t>
  </si>
  <si>
    <t>Col. D:</t>
  </si>
  <si>
    <t>Col. E:</t>
  </si>
  <si>
    <t>Col. F:</t>
  </si>
  <si>
    <t>Col. G:</t>
  </si>
  <si>
    <t>Col. H:</t>
  </si>
  <si>
    <t>Col. B + Col. C + Col. D + Col. E + Col. F. + Col. G.</t>
  </si>
  <si>
    <t>Col. I</t>
  </si>
  <si>
    <t>Col. J</t>
  </si>
  <si>
    <t>Col. K</t>
  </si>
  <si>
    <t>Col. L</t>
  </si>
  <si>
    <t>Col. M</t>
  </si>
  <si>
    <t>Col. N</t>
  </si>
  <si>
    <t>Actual</t>
  </si>
  <si>
    <t>Description</t>
  </si>
  <si>
    <t>SBC Revenues</t>
  </si>
  <si>
    <t>EES Revenues, 1/1/2024-6/30/2024</t>
  </si>
  <si>
    <t>EES Revenues, 1/1/2025-6/30/2025</t>
  </si>
  <si>
    <t>EES Revenues</t>
  </si>
  <si>
    <t>EES Revenues, 7/1/2024-12/31/2024</t>
  </si>
  <si>
    <t>EES Revenues, 7/1/2025-12/31/2025</t>
  </si>
  <si>
    <t>FCM Revenues*</t>
  </si>
  <si>
    <t>RGGI Revenues**</t>
  </si>
  <si>
    <t>Other Revenues***</t>
  </si>
  <si>
    <t>Total Energy Efficiency Revenues</t>
  </si>
  <si>
    <t>Energy Efficiency Expenditures - PA Models</t>
  </si>
  <si>
    <t>Energy Efficiency Expenditures - Electrification Pool</t>
  </si>
  <si>
    <t>Total Energy Efficiency Expenses</t>
  </si>
  <si>
    <t>Deferral (Over)/Under Recovery</t>
  </si>
  <si>
    <t>Interest on Deferral Balance</t>
  </si>
  <si>
    <t>(Over)/Under Ending Balance</t>
  </si>
  <si>
    <t>Interest Rate Applied to Deferral Balance</t>
  </si>
  <si>
    <t>*Sector portion of revenues are allocated based on forecasted 2024 kWh sales.</t>
  </si>
  <si>
    <t>**Sector portion of revenues are allocated based on greenhouse gas reductions.</t>
  </si>
  <si>
    <t>***Other Revenue represents any RPS and APS credits associated with CVEO participants.</t>
  </si>
  <si>
    <t>***Other Revenue represents any RPS and APS credits associated with CVEO participants, and revenue from the Clean Peak Standard.</t>
  </si>
  <si>
    <t>Planned</t>
  </si>
  <si>
    <t>Billed</t>
  </si>
  <si>
    <t>Other Revenues</t>
  </si>
  <si>
    <t>2027 Residential Energy Efficiency Revenue Requirement</t>
  </si>
  <si>
    <t>2027 Residential Monthly Deferral, Line 9, Cols. N.</t>
  </si>
  <si>
    <t>2027 Residential Monthly Deferral, Line 1, Cols. N.</t>
  </si>
  <si>
    <t>2027 Residential Monthly Deferral, Line 3, Cols. N + Line 4, Cols. N + Line 5, Cols. N.</t>
  </si>
  <si>
    <t>2027 Residential Monthly Deferral, Line 2, Cols. N</t>
  </si>
  <si>
    <t>2027 Residential Monthly Deferral, Line 12, Cols. A.</t>
  </si>
  <si>
    <t>2027 Residential Monthly Deferral, Line 11, Cols. N.</t>
  </si>
  <si>
    <t>2027 Low-Income Energy Efficiency Revenue Requirement</t>
  </si>
  <si>
    <t>2027 Low-Income Monthly Deferral, Line 9, Cols. N.</t>
  </si>
  <si>
    <t>2027 Low-Income Monthly Deferral, Line 1, Cols. N.</t>
  </si>
  <si>
    <t>2027 Low-Income Monthly Deferral, Line 3, Cols. N + Line 4, Cols. N + Line 5, Cols. N.</t>
  </si>
  <si>
    <t>2027 Low-Income Monthly Deferral, Line 2, Cols. N</t>
  </si>
  <si>
    <t>2027 Low-Income Monthly Deferral, Line 12, Cols. A.</t>
  </si>
  <si>
    <t>2027 Low-Income Monthly Deferral, Line 11, Cols. N.</t>
  </si>
  <si>
    <t>2027 Commercial &amp; Industrial Energy Efficiency Revenue Requirement</t>
  </si>
  <si>
    <t>2027 Commercial &amp; Industrial Monthly Deferral, Line 9, Cols. N.</t>
  </si>
  <si>
    <t>2027 Commercial &amp; Industrial Monthly Deferral, Line 1, Cols. N.</t>
  </si>
  <si>
    <t>2027 Commercial &amp; Industrial Monthly Deferral, Line 3, Cols. N + Line 4, Cols. N + Line 5, Cols. N.</t>
  </si>
  <si>
    <t>2027 Commercial &amp; Industrial Monthly Deferral, Line 2, Cols. N</t>
  </si>
  <si>
    <t>2027 Commercial &amp; Industrial Monthly Deferral, Line 12, Cols. A.</t>
  </si>
  <si>
    <t>2027 Commercial &amp; Industrial Monthly Deferral, Line 11, Cols.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</si>
</sst>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  <numFmt numFmtId="167" formatCode="_(&quot;$&quot;* #,##0.00000_);_(&quot;$&quot;* \(#,##0.00000\);_(&quot;$&quot;* &quot;-&quot;??_);_(@_)"/>
    <numFmt numFmtId="168" formatCode="0.000%"/>
    <numFmt numFmtId="169" formatCode="0.0%"/>
    <numFmt numFmtId="170" formatCode="_(* #,##0.000_);_(* \(#,##0.000\);_(* &quot;-&quot;??_);_(@_)"/>
    <numFmt numFmtId="171" formatCode="_(&quot;$&quot;* #,##0.000_);_(&quot;$&quot;* \(#,##0.000\);_(&quot;$&quot;* &quot;-&quot;???_);_(@_)"/>
    <numFmt numFmtId="172" formatCode="_(&quot;$&quot;* #,##0.000_);_(&quot;$&quot;* \(#,##0.000\);_(&quot;$&quot;* &quot;-&quot;_);_(@_)"/>
    <numFmt numFmtId="175" formatCode="_(&quot;$&quot;* #,##0_);_(&quot;$&quot;* \(#,##0\);_(&quot;$&quot;* &quot;-&quot;???_);_(@_)"/>
    <numFmt numFmtId="176" formatCode="[$-409]mmm\-yy;@"/>
    <numFmt numFmtId="177" formatCode="_(* #,##0.000_);_(* \(#,##0.000\);_(* &quot;-&quot;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 val="singleAccounting"/>
      <sz val="10"/>
      <name val="Arial"/>
      <family val="2"/>
    </font>
    <font>
      <sz val="8"/>
      <name val="Arial"/>
      <family val="2"/>
    </font>
    <font>
      <u val="singleAccounting"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1"/>
      <color theme="0" tint="-0.499984740745262"/>
      <name val="Calibri"/>
      <family val="2"/>
      <scheme val="minor"/>
    </font>
    <font>
      <sz val="10"/>
      <color theme="1"/>
      <name val="Arial"/>
      <family val="2"/>
    </font>
    <font>
      <sz val="10"/>
      <color rgb="FF00B050"/>
      <name val="Arial"/>
      <family val="2"/>
    </font>
    <font>
      <u val="doubleAccounting"/>
      <sz val="10"/>
      <name val="Arial"/>
      <family val="2"/>
    </font>
    <font>
      <sz val="8"/>
      <color rgb="FFFF0000"/>
      <name val="Arial"/>
      <family val="2"/>
    </font>
    <font>
      <sz val="10"/>
      <color theme="0"/>
      <name val="Arial"/>
      <family val="2"/>
    </font>
    <font>
      <sz val="10"/>
      <color rgb="FF00B0F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hair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0" fontId="3" fillId="0" borderId="0" xfId="4"/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 wrapText="1"/>
    </xf>
    <xf numFmtId="0" fontId="5" fillId="0" borderId="0" xfId="4" applyFont="1" applyAlignment="1">
      <alignment horizontal="right"/>
    </xf>
    <xf numFmtId="0" fontId="5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3" fillId="0" borderId="0" xfId="4" applyAlignment="1">
      <alignment horizontal="center"/>
    </xf>
    <xf numFmtId="164" fontId="3" fillId="0" borderId="0" xfId="5" applyNumberFormat="1" applyFont="1" applyFill="1"/>
    <xf numFmtId="165" fontId="3" fillId="0" borderId="0" xfId="5" applyNumberFormat="1" applyFont="1" applyFill="1"/>
    <xf numFmtId="0" fontId="3" fillId="0" borderId="0" xfId="6"/>
    <xf numFmtId="43" fontId="3" fillId="0" borderId="0" xfId="5" applyNumberFormat="1" applyFont="1" applyFill="1"/>
    <xf numFmtId="166" fontId="3" fillId="0" borderId="0" xfId="5" applyNumberFormat="1" applyFont="1" applyFill="1"/>
    <xf numFmtId="164" fontId="7" fillId="0" borderId="0" xfId="5" applyNumberFormat="1" applyFont="1" applyFill="1"/>
    <xf numFmtId="166" fontId="7" fillId="0" borderId="0" xfId="5" applyNumberFormat="1" applyFont="1" applyFill="1"/>
    <xf numFmtId="3" fontId="8" fillId="0" borderId="0" xfId="4" applyNumberFormat="1" applyFont="1"/>
    <xf numFmtId="167" fontId="3" fillId="0" borderId="0" xfId="5" applyNumberFormat="1" applyFont="1" applyFill="1"/>
    <xf numFmtId="168" fontId="3" fillId="0" borderId="0" xfId="7" applyNumberFormat="1" applyFont="1" applyFill="1"/>
    <xf numFmtId="0" fontId="9" fillId="0" borderId="0" xfId="4" applyFont="1"/>
    <xf numFmtId="169" fontId="3" fillId="0" borderId="0" xfId="7" applyNumberFormat="1" applyFont="1" applyFill="1"/>
    <xf numFmtId="10" fontId="9" fillId="0" borderId="0" xfId="4" applyNumberFormat="1" applyFont="1"/>
    <xf numFmtId="164" fontId="9" fillId="0" borderId="0" xfId="4" applyNumberFormat="1" applyFont="1"/>
    <xf numFmtId="167" fontId="3" fillId="0" borderId="0" xfId="2" applyNumberFormat="1" applyFont="1" applyFill="1"/>
    <xf numFmtId="167" fontId="3" fillId="0" borderId="0" xfId="5" applyNumberFormat="1" applyFont="1"/>
    <xf numFmtId="167" fontId="3" fillId="0" borderId="0" xfId="4" applyNumberFormat="1"/>
    <xf numFmtId="167" fontId="9" fillId="0" borderId="0" xfId="5" applyNumberFormat="1" applyFont="1"/>
    <xf numFmtId="0" fontId="2" fillId="0" borderId="0" xfId="0" applyFont="1"/>
    <xf numFmtId="44" fontId="0" fillId="0" borderId="0" xfId="0" applyNumberFormat="1"/>
    <xf numFmtId="0" fontId="10" fillId="0" borderId="0" xfId="0" applyFont="1"/>
    <xf numFmtId="9" fontId="2" fillId="0" borderId="0" xfId="3" applyFont="1"/>
    <xf numFmtId="44" fontId="10" fillId="0" borderId="0" xfId="0" applyNumberFormat="1" applyFont="1"/>
    <xf numFmtId="166" fontId="2" fillId="0" borderId="0" xfId="1" applyNumberFormat="1" applyFont="1"/>
    <xf numFmtId="0" fontId="4" fillId="0" borderId="0" xfId="6" applyFont="1" applyAlignment="1">
      <alignment horizontal="center"/>
    </xf>
    <xf numFmtId="0" fontId="4" fillId="0" borderId="0" xfId="6" applyFont="1"/>
    <xf numFmtId="0" fontId="4" fillId="0" borderId="0" xfId="6" applyFont="1" applyAlignment="1">
      <alignment horizontal="center"/>
    </xf>
    <xf numFmtId="0" fontId="3" fillId="0" borderId="0" xfId="6" applyAlignment="1">
      <alignment horizontal="center"/>
    </xf>
    <xf numFmtId="0" fontId="3" fillId="0" borderId="0" xfId="6" applyAlignment="1">
      <alignment horizontal="center"/>
    </xf>
    <xf numFmtId="1" fontId="3" fillId="0" borderId="1" xfId="6" applyNumberFormat="1" applyBorder="1" applyAlignment="1">
      <alignment horizontal="center"/>
    </xf>
    <xf numFmtId="1" fontId="3" fillId="0" borderId="0" xfId="6" applyNumberFormat="1" applyAlignment="1">
      <alignment horizontal="center"/>
    </xf>
    <xf numFmtId="43" fontId="3" fillId="0" borderId="0" xfId="8" applyFont="1" applyAlignment="1">
      <alignment horizontal="center"/>
    </xf>
    <xf numFmtId="43" fontId="3" fillId="0" borderId="0" xfId="8" applyAlignment="1">
      <alignment horizontal="center"/>
    </xf>
    <xf numFmtId="43" fontId="3" fillId="0" borderId="1" xfId="8" applyBorder="1" applyAlignment="1">
      <alignment horizontal="center"/>
    </xf>
    <xf numFmtId="43" fontId="11" fillId="0" borderId="0" xfId="9" applyFont="1" applyFill="1" applyBorder="1" applyAlignment="1">
      <alignment horizontal="center"/>
    </xf>
    <xf numFmtId="43" fontId="3" fillId="0" borderId="0" xfId="8" applyBorder="1" applyAlignment="1">
      <alignment horizontal="center"/>
    </xf>
    <xf numFmtId="0" fontId="9" fillId="0" borderId="0" xfId="6" applyFont="1"/>
    <xf numFmtId="43" fontId="7" fillId="0" borderId="0" xfId="8" applyFont="1" applyAlignment="1">
      <alignment horizontal="center"/>
    </xf>
    <xf numFmtId="43" fontId="7" fillId="0" borderId="1" xfId="8" applyFont="1" applyBorder="1" applyAlignment="1">
      <alignment horizontal="center"/>
    </xf>
    <xf numFmtId="43" fontId="7" fillId="0" borderId="0" xfId="9" applyFont="1" applyFill="1" applyBorder="1" applyAlignment="1">
      <alignment horizontal="center"/>
    </xf>
    <xf numFmtId="43" fontId="7" fillId="0" borderId="0" xfId="8" applyFont="1" applyBorder="1" applyAlignment="1">
      <alignment horizontal="center"/>
    </xf>
    <xf numFmtId="0" fontId="6" fillId="0" borderId="0" xfId="6" applyFont="1" applyAlignment="1">
      <alignment horizontal="center"/>
    </xf>
    <xf numFmtId="1" fontId="6" fillId="0" borderId="1" xfId="6" quotePrefix="1" applyNumberFormat="1" applyFont="1" applyBorder="1" applyAlignment="1">
      <alignment horizontal="center"/>
    </xf>
    <xf numFmtId="1" fontId="6" fillId="0" borderId="0" xfId="6" quotePrefix="1" applyNumberFormat="1" applyFont="1" applyAlignment="1">
      <alignment horizontal="center"/>
    </xf>
    <xf numFmtId="1" fontId="6" fillId="0" borderId="0" xfId="8" quotePrefix="1" applyNumberFormat="1" applyFont="1" applyAlignment="1">
      <alignment horizontal="center"/>
    </xf>
    <xf numFmtId="1" fontId="3" fillId="0" borderId="0" xfId="8" applyNumberFormat="1" applyAlignment="1">
      <alignment horizontal="center"/>
    </xf>
    <xf numFmtId="166" fontId="3" fillId="0" borderId="0" xfId="1" applyNumberFormat="1" applyFont="1" applyFill="1"/>
    <xf numFmtId="44" fontId="9" fillId="0" borderId="0" xfId="6" applyNumberFormat="1" applyFont="1"/>
    <xf numFmtId="171" fontId="3" fillId="0" borderId="1" xfId="5" applyNumberFormat="1" applyFill="1" applyBorder="1"/>
    <xf numFmtId="171" fontId="3" fillId="0" borderId="0" xfId="5" applyNumberFormat="1" applyFill="1"/>
    <xf numFmtId="164" fontId="3" fillId="0" borderId="0" xfId="5" applyNumberFormat="1" applyFill="1"/>
    <xf numFmtId="164" fontId="3" fillId="0" borderId="0" xfId="5" applyNumberFormat="1" applyFill="1" applyBorder="1"/>
    <xf numFmtId="171" fontId="9" fillId="0" borderId="0" xfId="5" applyNumberFormat="1" applyFont="1" applyFill="1"/>
    <xf numFmtId="9" fontId="9" fillId="0" borderId="0" xfId="3" applyFont="1" applyFill="1"/>
    <xf numFmtId="175" fontId="3" fillId="0" borderId="0" xfId="6" applyNumberFormat="1"/>
    <xf numFmtId="0" fontId="9" fillId="0" borderId="0" xfId="6" applyFont="1" applyAlignment="1">
      <alignment vertical="top" wrapText="1"/>
    </xf>
    <xf numFmtId="0" fontId="3" fillId="0" borderId="0" xfId="6" applyAlignment="1">
      <alignment horizontal="left"/>
    </xf>
    <xf numFmtId="0" fontId="12" fillId="0" borderId="0" xfId="6" applyFont="1"/>
    <xf numFmtId="0" fontId="3" fillId="0" borderId="0" xfId="6" applyAlignment="1">
      <alignment vertical="top"/>
    </xf>
    <xf numFmtId="44" fontId="3" fillId="0" borderId="0" xfId="6" applyNumberFormat="1"/>
    <xf numFmtId="164" fontId="3" fillId="0" borderId="0" xfId="6" applyNumberFormat="1"/>
    <xf numFmtId="0" fontId="6" fillId="0" borderId="0" xfId="6" quotePrefix="1" applyFont="1" applyAlignment="1">
      <alignment horizontal="center"/>
    </xf>
    <xf numFmtId="1" fontId="6" fillId="0" borderId="0" xfId="6" applyNumberFormat="1" applyFont="1" applyAlignment="1">
      <alignment horizontal="center"/>
    </xf>
    <xf numFmtId="1" fontId="6" fillId="0" borderId="0" xfId="8" quotePrefix="1" applyNumberFormat="1" applyFont="1" applyFill="1" applyAlignment="1">
      <alignment horizontal="center"/>
    </xf>
    <xf numFmtId="176" fontId="7" fillId="0" borderId="0" xfId="6" applyNumberFormat="1" applyFont="1" applyAlignment="1">
      <alignment horizontal="center"/>
    </xf>
    <xf numFmtId="176" fontId="7" fillId="0" borderId="0" xfId="6" applyNumberFormat="1" applyFont="1" applyAlignment="1">
      <alignment horizontal="left"/>
    </xf>
    <xf numFmtId="172" fontId="3" fillId="0" borderId="0" xfId="6" applyNumberFormat="1"/>
    <xf numFmtId="172" fontId="3" fillId="0" borderId="0" xfId="6" applyNumberFormat="1" applyAlignment="1">
      <alignment horizontal="center"/>
    </xf>
    <xf numFmtId="172" fontId="7" fillId="0" borderId="0" xfId="6" applyNumberFormat="1" applyFont="1" applyAlignment="1">
      <alignment horizontal="center"/>
    </xf>
    <xf numFmtId="172" fontId="13" fillId="0" borderId="0" xfId="6" applyNumberFormat="1" applyFont="1" applyAlignment="1">
      <alignment horizontal="center"/>
    </xf>
    <xf numFmtId="41" fontId="3" fillId="0" borderId="0" xfId="6" applyNumberFormat="1"/>
    <xf numFmtId="10" fontId="3" fillId="0" borderId="0" xfId="6" applyNumberFormat="1"/>
    <xf numFmtId="41" fontId="6" fillId="0" borderId="0" xfId="6" applyNumberFormat="1" applyFont="1"/>
    <xf numFmtId="0" fontId="6" fillId="0" borderId="0" xfId="6" applyFont="1"/>
    <xf numFmtId="10" fontId="6" fillId="0" borderId="0" xfId="6" applyNumberFormat="1" applyFont="1"/>
    <xf numFmtId="8" fontId="6" fillId="0" borderId="0" xfId="6" applyNumberFormat="1" applyFont="1"/>
    <xf numFmtId="164" fontId="6" fillId="0" borderId="0" xfId="2" applyNumberFormat="1" applyFont="1"/>
    <xf numFmtId="43" fontId="3" fillId="0" borderId="0" xfId="1" applyFont="1"/>
    <xf numFmtId="10" fontId="14" fillId="0" borderId="0" xfId="6" applyNumberFormat="1" applyFont="1"/>
    <xf numFmtId="0" fontId="15" fillId="0" borderId="0" xfId="6" applyFont="1"/>
    <xf numFmtId="169" fontId="3" fillId="0" borderId="0" xfId="3" applyNumberFormat="1" applyFont="1" applyFill="1" applyAlignment="1">
      <alignment horizontal="center"/>
    </xf>
    <xf numFmtId="44" fontId="3" fillId="0" borderId="0" xfId="6" applyNumberFormat="1" applyAlignment="1">
      <alignment horizontal="center"/>
    </xf>
    <xf numFmtId="43" fontId="3" fillId="0" borderId="0" xfId="6" applyNumberFormat="1" applyAlignment="1">
      <alignment horizontal="center"/>
    </xf>
    <xf numFmtId="170" fontId="3" fillId="0" borderId="0" xfId="8" applyNumberFormat="1" applyFill="1"/>
    <xf numFmtId="0" fontId="9" fillId="0" borderId="0" xfId="6" applyFont="1" applyAlignment="1">
      <alignment horizontal="center"/>
    </xf>
    <xf numFmtId="43" fontId="3" fillId="0" borderId="0" xfId="6" applyNumberFormat="1"/>
    <xf numFmtId="171" fontId="3" fillId="0" borderId="0" xfId="6" applyNumberFormat="1"/>
    <xf numFmtId="0" fontId="16" fillId="0" borderId="0" xfId="6" applyFont="1"/>
    <xf numFmtId="164" fontId="3" fillId="0" borderId="0" xfId="5" applyNumberFormat="1" applyAlignment="1">
      <alignment horizontal="center"/>
    </xf>
    <xf numFmtId="164" fontId="7" fillId="0" borderId="0" xfId="5" applyNumberFormat="1" applyFont="1" applyAlignment="1">
      <alignment horizontal="center"/>
    </xf>
    <xf numFmtId="170" fontId="7" fillId="0" borderId="0" xfId="8" applyNumberFormat="1" applyFont="1" applyAlignment="1">
      <alignment horizontal="center"/>
    </xf>
    <xf numFmtId="164" fontId="7" fillId="0" borderId="0" xfId="5" applyNumberFormat="1" applyFont="1" applyFill="1" applyAlignment="1">
      <alignment horizontal="center"/>
    </xf>
    <xf numFmtId="170" fontId="7" fillId="0" borderId="0" xfId="8" applyNumberFormat="1" applyFont="1" applyFill="1" applyAlignment="1">
      <alignment horizontal="center"/>
    </xf>
    <xf numFmtId="177" fontId="6" fillId="0" borderId="0" xfId="6" applyNumberFormat="1" applyFont="1"/>
    <xf numFmtId="170" fontId="6" fillId="0" borderId="0" xfId="1" applyNumberFormat="1" applyFont="1"/>
    <xf numFmtId="166" fontId="14" fillId="0" borderId="0" xfId="1" applyNumberFormat="1" applyFont="1"/>
    <xf numFmtId="164" fontId="14" fillId="0" borderId="0" xfId="2" applyNumberFormat="1" applyFont="1"/>
    <xf numFmtId="44" fontId="9" fillId="0" borderId="0" xfId="2" applyFont="1"/>
  </cellXfs>
  <cellStyles count="10">
    <cellStyle name="Comma" xfId="1" builtinId="3"/>
    <cellStyle name="Comma 10" xfId="9" xr:uid="{C240A5C2-D0AB-4342-BCE9-62142BE7A19A}"/>
    <cellStyle name="Comma 2" xfId="8" xr:uid="{EE098705-A741-4288-8F6B-3DD688798814}"/>
    <cellStyle name="Currency" xfId="2" builtinId="4"/>
    <cellStyle name="Currency 2" xfId="5" xr:uid="{187B149F-390E-4D30-BC27-BA6C69DCD90B}"/>
    <cellStyle name="Normal" xfId="0" builtinId="0"/>
    <cellStyle name="Normal 2" xfId="6" xr:uid="{4558B7F2-3763-4C2D-978E-BD08A16A36DD}"/>
    <cellStyle name="Normal 8" xfId="4" xr:uid="{126836CE-910A-45F7-9B3D-3081D9F6042E}"/>
    <cellStyle name="Percent" xfId="3" builtinId="5"/>
    <cellStyle name="Percent 4 2" xfId="7" xr:uid="{38B9F881-8888-4BA4-92FE-B75874394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8E44-BD14-4FA1-92D1-3A4475B222A8}">
  <sheetPr codeName="Sheet16"/>
  <dimension ref="B2:P30"/>
  <sheetViews>
    <sheetView showGridLines="0" tabSelected="1" zoomScaleNormal="100" workbookViewId="0"/>
  </sheetViews>
  <sheetFormatPr defaultRowHeight="15" x14ac:dyDescent="0.25"/>
  <cols>
    <col min="1" max="1" width="2.5703125" customWidth="1"/>
    <col min="2" max="2" width="5" customWidth="1"/>
    <col min="3" max="3" width="32" customWidth="1"/>
    <col min="4" max="6" width="15.5703125" customWidth="1"/>
    <col min="7" max="7" width="2.5703125" customWidth="1"/>
    <col min="8" max="8" width="56.42578125" customWidth="1"/>
    <col min="9" max="9" width="2.5703125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1"/>
    </row>
    <row r="3" spans="2:8" x14ac:dyDescent="0.25">
      <c r="B3" s="1" t="str">
        <f>Year3&amp;" Energy Efficiency Reconciliation Factor (EERF)"</f>
        <v>2027 Energy Efficiency Reconciliation Factor (EERF)</v>
      </c>
      <c r="C3" s="1"/>
      <c r="D3" s="1"/>
      <c r="E3" s="1"/>
      <c r="F3" s="1"/>
      <c r="G3" s="1"/>
      <c r="H3" s="1"/>
    </row>
    <row r="4" spans="2:8" x14ac:dyDescent="0.25">
      <c r="B4" s="1" t="s">
        <v>1</v>
      </c>
      <c r="C4" s="1"/>
      <c r="D4" s="1"/>
      <c r="E4" s="1"/>
      <c r="F4" s="1"/>
      <c r="G4" s="1"/>
      <c r="H4" s="1"/>
    </row>
    <row r="5" spans="2:8" x14ac:dyDescent="0.25">
      <c r="B5" s="3"/>
      <c r="C5" s="2"/>
      <c r="D5" s="2"/>
      <c r="E5" s="2"/>
      <c r="F5" s="2"/>
      <c r="G5" s="2"/>
      <c r="H5" s="2"/>
    </row>
    <row r="6" spans="2:8" ht="30" x14ac:dyDescent="0.35">
      <c r="B6" s="4" t="s">
        <v>2</v>
      </c>
      <c r="C6" s="4" t="s">
        <v>3</v>
      </c>
      <c r="D6" s="5" t="s">
        <v>4</v>
      </c>
      <c r="E6" s="5" t="s">
        <v>5</v>
      </c>
      <c r="F6" s="5" t="s">
        <v>6</v>
      </c>
      <c r="G6" s="6"/>
      <c r="H6" s="7" t="s">
        <v>7</v>
      </c>
    </row>
    <row r="7" spans="2:8" ht="16.5" x14ac:dyDescent="0.35">
      <c r="B7" s="4"/>
      <c r="C7" s="8"/>
      <c r="D7" s="8" t="s">
        <v>8</v>
      </c>
      <c r="E7" s="8" t="s">
        <v>9</v>
      </c>
      <c r="F7" s="8" t="s">
        <v>10</v>
      </c>
      <c r="G7" s="8"/>
      <c r="H7" s="8"/>
    </row>
    <row r="8" spans="2:8" x14ac:dyDescent="0.25">
      <c r="B8" s="9">
        <v>1</v>
      </c>
      <c r="C8" s="3" t="s">
        <v>11</v>
      </c>
      <c r="D8" s="10">
        <f>Res!$D$10</f>
        <v>72751.627774289009</v>
      </c>
      <c r="E8" s="10">
        <f>LI!$D$10</f>
        <v>28610.385237064969</v>
      </c>
      <c r="F8" s="10">
        <f>CI!$D$10</f>
        <v>19654.750441735861</v>
      </c>
      <c r="G8" s="11"/>
      <c r="H8" s="3" t="s">
        <v>12</v>
      </c>
    </row>
    <row r="9" spans="2:8" x14ac:dyDescent="0.25">
      <c r="B9" s="9">
        <f>B8+1</f>
        <v>2</v>
      </c>
      <c r="C9" s="3" t="s">
        <v>13</v>
      </c>
      <c r="D9" s="10">
        <f>Res!$E$10</f>
        <v>-2585.6127600010818</v>
      </c>
      <c r="E9" s="10">
        <f>LI!$E$10</f>
        <v>-197.17854974688828</v>
      </c>
      <c r="F9" s="10">
        <f>CI!$E$10</f>
        <v>-1747.7617505672763</v>
      </c>
      <c r="G9" s="13"/>
      <c r="H9" s="3" t="s">
        <v>14</v>
      </c>
    </row>
    <row r="10" spans="2:8" x14ac:dyDescent="0.25">
      <c r="B10" s="9">
        <f t="shared" ref="B10:B20" si="0">B9+1</f>
        <v>3</v>
      </c>
      <c r="C10" s="3" t="s">
        <v>15</v>
      </c>
      <c r="D10" s="10">
        <f>Res!$F$10</f>
        <v>-3538.0640320064599</v>
      </c>
      <c r="E10" s="10">
        <f>LI!$F$10</f>
        <v>-565.92485515909436</v>
      </c>
      <c r="F10" s="10">
        <f>CI!$F$10</f>
        <v>-1620.3319398094136</v>
      </c>
      <c r="G10" s="13"/>
      <c r="H10" s="3" t="s">
        <v>16</v>
      </c>
    </row>
    <row r="11" spans="2:8" x14ac:dyDescent="0.25">
      <c r="B11" s="9">
        <f t="shared" si="0"/>
        <v>4</v>
      </c>
      <c r="C11" s="3" t="s">
        <v>17</v>
      </c>
      <c r="D11" s="10">
        <f>Res!$G$10</f>
        <v>0</v>
      </c>
      <c r="E11" s="10">
        <f>LI!$G$10</f>
        <v>0</v>
      </c>
      <c r="F11" s="10">
        <f>CI!$G$10</f>
        <v>0</v>
      </c>
      <c r="G11" s="13"/>
      <c r="H11" s="3" t="s">
        <v>18</v>
      </c>
    </row>
    <row r="12" spans="2:8" x14ac:dyDescent="0.25">
      <c r="B12" s="9">
        <f t="shared" si="0"/>
        <v>5</v>
      </c>
      <c r="C12" s="3" t="s">
        <v>19</v>
      </c>
      <c r="D12" s="10">
        <f>Res!$H$10</f>
        <v>-33083.378830266403</v>
      </c>
      <c r="E12" s="10">
        <f>LI!$H$10</f>
        <v>-968.50255340633169</v>
      </c>
      <c r="F12" s="10">
        <f>CI!$H$10</f>
        <v>-5085.1084545002814</v>
      </c>
      <c r="G12" s="14"/>
      <c r="H12" s="3" t="s">
        <v>20</v>
      </c>
    </row>
    <row r="13" spans="2:8" ht="16.5" x14ac:dyDescent="0.35">
      <c r="B13" s="9">
        <f t="shared" si="0"/>
        <v>6</v>
      </c>
      <c r="C13" s="3" t="s">
        <v>21</v>
      </c>
      <c r="D13" s="15">
        <f>Res!$I$10</f>
        <v>-421.43530643763592</v>
      </c>
      <c r="E13" s="15">
        <f>LI!$I$10</f>
        <v>50.264254551996558</v>
      </c>
      <c r="F13" s="15">
        <f>CI!$I$10</f>
        <v>-45.360491765539955</v>
      </c>
      <c r="G13" s="16"/>
      <c r="H13" s="3" t="s">
        <v>22</v>
      </c>
    </row>
    <row r="14" spans="2:8" x14ac:dyDescent="0.25">
      <c r="B14" s="9">
        <f t="shared" si="0"/>
        <v>7</v>
      </c>
      <c r="C14" s="3" t="s">
        <v>23</v>
      </c>
      <c r="D14" s="10">
        <f>SUM(D8:D13)</f>
        <v>33123.136845577435</v>
      </c>
      <c r="E14" s="10">
        <f>SUM(E8:E13)</f>
        <v>26929.043533304652</v>
      </c>
      <c r="F14" s="10">
        <f>SUM(F8:F13)</f>
        <v>11156.187805093352</v>
      </c>
      <c r="G14" s="11"/>
      <c r="H14" s="3" t="s">
        <v>24</v>
      </c>
    </row>
    <row r="15" spans="2:8" x14ac:dyDescent="0.25">
      <c r="B15" s="9">
        <f t="shared" si="0"/>
        <v>8</v>
      </c>
      <c r="C15" s="3" t="s">
        <v>25</v>
      </c>
      <c r="D15" s="17">
        <v>1034245104.000433</v>
      </c>
      <c r="E15" s="17">
        <v>78871419.898755297</v>
      </c>
      <c r="F15" s="17">
        <v>699104700.22691047</v>
      </c>
      <c r="G15" s="17"/>
      <c r="H15" s="3" t="s">
        <v>26</v>
      </c>
    </row>
    <row r="16" spans="2:8" x14ac:dyDescent="0.25">
      <c r="B16" s="9">
        <f t="shared" si="0"/>
        <v>9</v>
      </c>
      <c r="C16" s="3" t="s">
        <v>27</v>
      </c>
      <c r="D16" s="18">
        <f>ROUND(D14*1000/D15,5)</f>
        <v>3.2030000000000003E-2</v>
      </c>
      <c r="E16" s="18"/>
      <c r="F16" s="18">
        <f>ROUND(F14*1000/F15,5)</f>
        <v>1.5959999999999998E-2</v>
      </c>
      <c r="G16" s="18"/>
      <c r="H16" s="3" t="s">
        <v>28</v>
      </c>
    </row>
    <row r="17" spans="2:8" x14ac:dyDescent="0.25">
      <c r="B17" s="9">
        <f t="shared" si="0"/>
        <v>10</v>
      </c>
      <c r="C17" s="3" t="s">
        <v>29</v>
      </c>
      <c r="D17" s="19">
        <v>0.50795000000000001</v>
      </c>
      <c r="E17" s="22"/>
      <c r="F17" s="19">
        <v>0.49204999999999999</v>
      </c>
      <c r="G17" s="21"/>
      <c r="H17" s="3" t="s">
        <v>30</v>
      </c>
    </row>
    <row r="18" spans="2:8" x14ac:dyDescent="0.25">
      <c r="B18" s="9">
        <f t="shared" si="0"/>
        <v>11</v>
      </c>
      <c r="C18" s="3" t="s">
        <v>31</v>
      </c>
      <c r="D18" s="10">
        <f>D17*E14</f>
        <v>13678.607662742099</v>
      </c>
      <c r="E18" s="23"/>
      <c r="F18" s="10">
        <f>F17*E14</f>
        <v>13250.435870562553</v>
      </c>
      <c r="G18" s="11"/>
      <c r="H18" s="3" t="s">
        <v>32</v>
      </c>
    </row>
    <row r="19" spans="2:8" x14ac:dyDescent="0.25">
      <c r="B19" s="9">
        <f t="shared" si="0"/>
        <v>12</v>
      </c>
      <c r="C19" s="3" t="s">
        <v>33</v>
      </c>
      <c r="D19" s="10">
        <f>D14+D18</f>
        <v>46801.744508319534</v>
      </c>
      <c r="E19" s="23"/>
      <c r="F19" s="10">
        <f>F14+F18</f>
        <v>24406.623675655905</v>
      </c>
      <c r="G19" s="11"/>
      <c r="H19" s="3" t="s">
        <v>34</v>
      </c>
    </row>
    <row r="20" spans="2:8" x14ac:dyDescent="0.25">
      <c r="B20" s="9">
        <f t="shared" si="0"/>
        <v>13</v>
      </c>
      <c r="C20" s="3" t="s">
        <v>25</v>
      </c>
      <c r="D20" s="17">
        <f>D15+E15</f>
        <v>1113116523.8991883</v>
      </c>
      <c r="E20" s="20"/>
      <c r="F20" s="17">
        <f>F15</f>
        <v>699104700.22691047</v>
      </c>
      <c r="G20" s="17"/>
      <c r="H20" s="3" t="s">
        <v>35</v>
      </c>
    </row>
    <row r="21" spans="2:8" x14ac:dyDescent="0.25">
      <c r="B21" s="9"/>
      <c r="C21" s="3"/>
      <c r="D21" s="17"/>
      <c r="E21" s="20"/>
      <c r="F21" s="17"/>
      <c r="G21" s="17"/>
      <c r="H21" s="3"/>
    </row>
    <row r="22" spans="2:8" x14ac:dyDescent="0.25">
      <c r="B22" s="9">
        <v>14</v>
      </c>
      <c r="C22" s="3" t="str">
        <f>Year3&amp;" EERF"</f>
        <v>2027 EERF</v>
      </c>
      <c r="D22" s="24">
        <f>TRUNC((D19*1000/D20),5)</f>
        <v>4.2040000000000001E-2</v>
      </c>
      <c r="E22" s="24">
        <f>D22</f>
        <v>4.2040000000000001E-2</v>
      </c>
      <c r="F22" s="24">
        <f>TRUNC((F19*1000/F20),5)</f>
        <v>3.4909999999999997E-2</v>
      </c>
      <c r="G22" s="18"/>
      <c r="H22" s="3" t="s">
        <v>37</v>
      </c>
    </row>
    <row r="23" spans="2:8" x14ac:dyDescent="0.25">
      <c r="G23" s="25"/>
      <c r="H23" s="3"/>
    </row>
    <row r="24" spans="2:8" x14ac:dyDescent="0.25">
      <c r="B24" s="9"/>
      <c r="C24" s="3"/>
      <c r="D24" s="25"/>
      <c r="E24" s="26"/>
      <c r="F24" s="27"/>
      <c r="G24" s="25"/>
      <c r="H24" s="3"/>
    </row>
    <row r="25" spans="2:8" x14ac:dyDescent="0.25">
      <c r="B25" s="9"/>
      <c r="C25" s="3"/>
      <c r="D25" s="25"/>
      <c r="E25" s="26"/>
      <c r="F25" s="25"/>
      <c r="G25" s="25"/>
      <c r="H25" s="3"/>
    </row>
    <row r="27" spans="2:8" x14ac:dyDescent="0.25">
      <c r="D27" s="29"/>
      <c r="E27" s="29"/>
    </row>
    <row r="28" spans="2:8" s="30" customFormat="1" x14ac:dyDescent="0.25">
      <c r="C28" s="32"/>
      <c r="D28" s="31"/>
      <c r="E28" s="31"/>
      <c r="F28" s="33"/>
      <c r="H28" s="28"/>
    </row>
    <row r="29" spans="2:8" x14ac:dyDescent="0.25">
      <c r="F29" s="28"/>
    </row>
    <row r="30" spans="2:8" x14ac:dyDescent="0.25">
      <c r="F30" s="28"/>
    </row>
  </sheetData>
  <mergeCells count="3">
    <mergeCell ref="B4:H4"/>
    <mergeCell ref="B2:H2"/>
    <mergeCell ref="B3:H3"/>
  </mergeCells>
  <pageMargins left="0.7" right="0.7" top="1" bottom="0.75" header="0.3" footer="0.3"/>
  <pageSetup scale="80" orientation="landscape" r:id="rId1"/>
  <headerFooter>
    <oddHeader>&amp;R&amp;"Arial,Regular"&amp;10Cape Light Compact JPE
D.P.U. 26-146
Exhibit 2, EES Calculation
October 30, 2026
Page &amp;P of &amp;N</oddHeader>
  </headerFooter>
  <colBreaks count="1" manualBreakCount="1">
    <brk id="1" min="1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5A37-2262-4EAA-8477-28F2E41BFC98}">
  <sheetPr codeName="Sheet33"/>
  <dimension ref="A1:BL50"/>
  <sheetViews>
    <sheetView showGridLines="0" zoomScaleNormal="100" workbookViewId="0"/>
  </sheetViews>
  <sheetFormatPr defaultColWidth="9.140625" defaultRowHeight="12.75" x14ac:dyDescent="0.2"/>
  <cols>
    <col min="1" max="1" width="5.5703125" style="12" customWidth="1"/>
    <col min="2" max="2" width="46.28515625" style="12" customWidth="1"/>
    <col min="3" max="10" width="15" style="12" customWidth="1"/>
    <col min="11" max="11" width="16.28515625" style="12" customWidth="1"/>
    <col min="12" max="12" width="18.42578125" style="12" customWidth="1"/>
    <col min="13" max="13" width="18.5703125" style="12" customWidth="1"/>
    <col min="14" max="14" width="17" style="12" customWidth="1"/>
    <col min="15" max="15" width="15.5703125" style="12" customWidth="1"/>
    <col min="16" max="16" width="15" style="12" customWidth="1"/>
    <col min="17" max="17" width="5.5703125" style="12" customWidth="1"/>
    <col min="18" max="18" width="46.28515625" style="12" customWidth="1"/>
    <col min="19" max="26" width="15" style="12" customWidth="1"/>
    <col min="27" max="27" width="16.28515625" style="12" customWidth="1"/>
    <col min="28" max="28" width="18.42578125" style="12" customWidth="1"/>
    <col min="29" max="29" width="18.5703125" style="12" customWidth="1"/>
    <col min="30" max="30" width="17" style="12" customWidth="1"/>
    <col min="31" max="31" width="15.5703125" style="12" customWidth="1"/>
    <col min="32" max="32" width="15" style="12" customWidth="1"/>
    <col min="33" max="33" width="5.5703125" style="12" customWidth="1"/>
    <col min="34" max="34" width="46.28515625" style="12" customWidth="1"/>
    <col min="35" max="42" width="15" style="12" customWidth="1"/>
    <col min="43" max="43" width="16.28515625" style="12" customWidth="1"/>
    <col min="44" max="44" width="18.42578125" style="12" customWidth="1"/>
    <col min="45" max="45" width="18.5703125" style="12" customWidth="1"/>
    <col min="46" max="46" width="17" style="12" customWidth="1"/>
    <col min="47" max="47" width="15.5703125" style="12" customWidth="1"/>
    <col min="48" max="48" width="15" style="12" customWidth="1"/>
    <col min="49" max="49" width="5.5703125" style="12" customWidth="1"/>
    <col min="50" max="50" width="46.28515625" style="12" customWidth="1"/>
    <col min="51" max="58" width="15" style="12" customWidth="1"/>
    <col min="59" max="59" width="16.28515625" style="12" customWidth="1"/>
    <col min="60" max="60" width="18.42578125" style="12" customWidth="1"/>
    <col min="61" max="61" width="18.5703125" style="12" customWidth="1"/>
    <col min="62" max="62" width="17" style="12" customWidth="1"/>
    <col min="63" max="63" width="15.5703125" style="12" customWidth="1"/>
    <col min="64" max="64" width="15" style="12" customWidth="1"/>
    <col min="65" max="65" width="2.5703125" style="12" customWidth="1"/>
    <col min="66" max="16384" width="9.140625" style="12"/>
  </cols>
  <sheetData>
    <row r="1" spans="2:24" x14ac:dyDescent="0.2">
      <c r="C1" s="34" t="s">
        <v>0</v>
      </c>
      <c r="D1" s="34"/>
      <c r="E1" s="34"/>
      <c r="F1" s="34"/>
      <c r="G1" s="34"/>
      <c r="H1" s="34"/>
      <c r="I1" s="34"/>
      <c r="J1" s="34"/>
      <c r="K1" s="35"/>
      <c r="L1" s="35"/>
      <c r="M1" s="35"/>
      <c r="N1" s="35"/>
    </row>
    <row r="2" spans="2:24" x14ac:dyDescent="0.2">
      <c r="C2" s="34" t="s">
        <v>106</v>
      </c>
      <c r="D2" s="34"/>
      <c r="E2" s="34"/>
      <c r="F2" s="34"/>
      <c r="G2" s="34"/>
      <c r="H2" s="34"/>
      <c r="I2" s="34"/>
      <c r="J2" s="34"/>
      <c r="K2" s="35"/>
      <c r="L2" s="35"/>
      <c r="M2" s="35"/>
      <c r="N2" s="35"/>
    </row>
    <row r="3" spans="2:24" x14ac:dyDescent="0.2">
      <c r="C3" s="34" t="s">
        <v>1</v>
      </c>
      <c r="D3" s="34"/>
      <c r="E3" s="34"/>
      <c r="F3" s="34"/>
      <c r="G3" s="34"/>
      <c r="H3" s="34"/>
      <c r="I3" s="34"/>
      <c r="J3" s="34"/>
      <c r="K3" s="35"/>
      <c r="L3" s="35"/>
      <c r="M3" s="35"/>
      <c r="N3" s="35"/>
    </row>
    <row r="4" spans="2:24" x14ac:dyDescent="0.2">
      <c r="C4" s="36"/>
      <c r="D4" s="36"/>
      <c r="E4" s="36"/>
      <c r="F4" s="36"/>
      <c r="G4" s="36"/>
      <c r="H4" s="36"/>
      <c r="I4" s="36"/>
      <c r="J4" s="36"/>
      <c r="K4" s="35"/>
      <c r="L4" s="35"/>
      <c r="M4" s="35"/>
      <c r="N4" s="35"/>
      <c r="R4" s="37"/>
      <c r="S4" s="37"/>
      <c r="T4" s="37"/>
      <c r="U4" s="37"/>
      <c r="V4" s="37"/>
      <c r="W4" s="37"/>
      <c r="X4" s="37"/>
    </row>
    <row r="5" spans="2:24" x14ac:dyDescent="0.2">
      <c r="C5" s="38"/>
      <c r="D5" s="39"/>
      <c r="E5" s="40"/>
      <c r="F5" s="41" t="s">
        <v>38</v>
      </c>
      <c r="G5" s="41"/>
      <c r="H5" s="40" t="s">
        <v>39</v>
      </c>
      <c r="I5" s="39"/>
      <c r="J5" s="40"/>
      <c r="K5" s="35"/>
      <c r="L5" s="35"/>
      <c r="M5" s="35"/>
      <c r="N5" s="35"/>
    </row>
    <row r="6" spans="2:24" x14ac:dyDescent="0.2">
      <c r="C6" s="42"/>
      <c r="D6" s="43" t="s">
        <v>40</v>
      </c>
      <c r="E6" s="42" t="s">
        <v>41</v>
      </c>
      <c r="F6" s="42" t="s">
        <v>42</v>
      </c>
      <c r="G6" s="44" t="s">
        <v>43</v>
      </c>
      <c r="H6" s="42" t="s">
        <v>44</v>
      </c>
      <c r="I6" s="43" t="s">
        <v>45</v>
      </c>
      <c r="J6" s="45" t="s">
        <v>46</v>
      </c>
      <c r="K6" s="35"/>
      <c r="L6" s="35"/>
      <c r="M6" s="35"/>
      <c r="N6" s="35"/>
      <c r="P6" s="46"/>
      <c r="Q6" s="46"/>
      <c r="R6" s="46"/>
    </row>
    <row r="7" spans="2:24" ht="15" x14ac:dyDescent="0.35">
      <c r="C7" s="47" t="s">
        <v>47</v>
      </c>
      <c r="D7" s="48" t="s">
        <v>48</v>
      </c>
      <c r="E7" s="47" t="s">
        <v>49</v>
      </c>
      <c r="F7" s="47" t="s">
        <v>49</v>
      </c>
      <c r="G7" s="49" t="s">
        <v>50</v>
      </c>
      <c r="H7" s="47" t="s">
        <v>51</v>
      </c>
      <c r="I7" s="48" t="s">
        <v>52</v>
      </c>
      <c r="J7" s="50" t="s">
        <v>53</v>
      </c>
      <c r="K7" s="35"/>
      <c r="L7" s="35"/>
      <c r="M7" s="35"/>
      <c r="N7" s="35"/>
      <c r="P7" s="46"/>
      <c r="Q7" s="46"/>
      <c r="R7" s="46"/>
    </row>
    <row r="8" spans="2:24" x14ac:dyDescent="0.2">
      <c r="C8" s="51" t="s">
        <v>8</v>
      </c>
      <c r="D8" s="52" t="s">
        <v>9</v>
      </c>
      <c r="E8" s="53" t="s">
        <v>10</v>
      </c>
      <c r="F8" s="54" t="s">
        <v>54</v>
      </c>
      <c r="G8" s="54" t="s">
        <v>55</v>
      </c>
      <c r="H8" s="53" t="s">
        <v>56</v>
      </c>
      <c r="I8" s="52" t="s">
        <v>57</v>
      </c>
      <c r="J8" s="53" t="s">
        <v>58</v>
      </c>
      <c r="K8" s="35"/>
      <c r="L8" s="35"/>
      <c r="M8" s="35"/>
      <c r="N8" s="35"/>
      <c r="P8" s="46"/>
      <c r="Q8" s="46"/>
      <c r="R8" s="46"/>
    </row>
    <row r="9" spans="2:24" x14ac:dyDescent="0.2">
      <c r="C9" s="38"/>
      <c r="D9" s="39" t="s">
        <v>59</v>
      </c>
      <c r="E9" s="40" t="s">
        <v>60</v>
      </c>
      <c r="F9" s="55" t="s">
        <v>61</v>
      </c>
      <c r="G9" s="55"/>
      <c r="H9" s="40" t="s">
        <v>62</v>
      </c>
      <c r="I9" s="39" t="s">
        <v>63</v>
      </c>
      <c r="J9" s="40"/>
      <c r="K9" s="35"/>
      <c r="L9" s="35"/>
      <c r="M9" s="35"/>
      <c r="N9" s="35"/>
      <c r="P9" s="46"/>
      <c r="Q9" s="46"/>
      <c r="R9" s="46"/>
    </row>
    <row r="10" spans="2:24" x14ac:dyDescent="0.2">
      <c r="C10" s="38">
        <f>Year3</f>
        <v>2027</v>
      </c>
      <c r="D10" s="58">
        <f>BL40</f>
        <v>72751.627774289009</v>
      </c>
      <c r="E10" s="59">
        <f>$BL$30</f>
        <v>-2585.6127600010818</v>
      </c>
      <c r="F10" s="59">
        <f>$BL$33+$BL$34+$BL$35</f>
        <v>-3538.0640320064599</v>
      </c>
      <c r="G10" s="60">
        <v>0</v>
      </c>
      <c r="H10" s="59">
        <f>$AU$44</f>
        <v>-33083.378830266403</v>
      </c>
      <c r="I10" s="58">
        <f>SUM($BL$43)</f>
        <v>-421.43530643763592</v>
      </c>
      <c r="J10" s="61">
        <f>SUM(D10:I10)</f>
        <v>33123.136845577435</v>
      </c>
      <c r="K10" s="35"/>
      <c r="L10" s="35"/>
      <c r="M10" s="35"/>
      <c r="N10" s="35"/>
      <c r="O10" s="56"/>
    </row>
    <row r="11" spans="2:24" x14ac:dyDescent="0.2">
      <c r="D11" s="62"/>
      <c r="E11" s="62"/>
      <c r="F11" s="62"/>
      <c r="G11" s="62"/>
      <c r="H11" s="62"/>
      <c r="I11" s="63"/>
      <c r="J11" s="63"/>
      <c r="K11" s="35"/>
      <c r="L11" s="35"/>
      <c r="M11" s="35"/>
      <c r="N11" s="35"/>
    </row>
    <row r="12" spans="2:24" x14ac:dyDescent="0.2">
      <c r="K12" s="35"/>
      <c r="L12" s="35"/>
      <c r="M12" s="35"/>
      <c r="N12" s="35"/>
    </row>
    <row r="13" spans="2:24" x14ac:dyDescent="0.2">
      <c r="C13" s="38" t="s">
        <v>64</v>
      </c>
      <c r="D13" s="12" t="s">
        <v>65</v>
      </c>
      <c r="F13" s="64"/>
      <c r="G13" s="64"/>
      <c r="H13" s="64"/>
      <c r="K13" s="35"/>
      <c r="L13" s="35"/>
      <c r="M13" s="35"/>
      <c r="N13" s="35"/>
    </row>
    <row r="14" spans="2:24" ht="12.75" customHeight="1" x14ac:dyDescent="0.2">
      <c r="C14" s="38" t="s">
        <v>66</v>
      </c>
      <c r="D14" s="12" t="s">
        <v>107</v>
      </c>
      <c r="E14" s="65"/>
      <c r="F14" s="65"/>
      <c r="G14" s="65"/>
      <c r="H14" s="65"/>
      <c r="I14" s="65"/>
      <c r="J14" s="65"/>
      <c r="K14" s="65"/>
      <c r="L14" s="65"/>
      <c r="M14" s="65"/>
      <c r="N14" s="64"/>
      <c r="O14" s="46"/>
    </row>
    <row r="15" spans="2:24" x14ac:dyDescent="0.2">
      <c r="C15" s="38" t="s">
        <v>67</v>
      </c>
      <c r="D15" s="12" t="s">
        <v>108</v>
      </c>
    </row>
    <row r="16" spans="2:24" x14ac:dyDescent="0.2">
      <c r="B16" s="46"/>
      <c r="C16" s="38" t="s">
        <v>68</v>
      </c>
      <c r="D16" s="12" t="s">
        <v>109</v>
      </c>
      <c r="K16" s="46"/>
    </row>
    <row r="17" spans="1:64" x14ac:dyDescent="0.2">
      <c r="B17" s="46"/>
      <c r="C17" s="38" t="s">
        <v>69</v>
      </c>
      <c r="D17" s="66" t="s">
        <v>110</v>
      </c>
      <c r="K17" s="46"/>
    </row>
    <row r="18" spans="1:64" x14ac:dyDescent="0.2">
      <c r="B18" s="67"/>
      <c r="C18" s="38" t="s">
        <v>70</v>
      </c>
      <c r="D18" s="12" t="s">
        <v>111</v>
      </c>
      <c r="J18" s="12" t="s">
        <v>36</v>
      </c>
    </row>
    <row r="19" spans="1:64" x14ac:dyDescent="0.2">
      <c r="C19" s="38" t="s">
        <v>71</v>
      </c>
      <c r="D19" s="12" t="s">
        <v>112</v>
      </c>
      <c r="M19" s="12" t="s">
        <v>36</v>
      </c>
      <c r="AK19" s="12" t="s">
        <v>36</v>
      </c>
    </row>
    <row r="20" spans="1:64" x14ac:dyDescent="0.2">
      <c r="C20" s="38" t="s">
        <v>72</v>
      </c>
      <c r="D20" s="12" t="s">
        <v>73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AE20" s="69"/>
    </row>
    <row r="21" spans="1:64" x14ac:dyDescent="0.2">
      <c r="L21" s="70"/>
      <c r="AG21" s="46"/>
      <c r="AV21" s="12" t="s">
        <v>36</v>
      </c>
    </row>
    <row r="23" spans="1:64" x14ac:dyDescent="0.2">
      <c r="A23" s="34" t="s">
        <v>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 t="s">
        <v>0</v>
      </c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 t="s">
        <v>0</v>
      </c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 t="s">
        <v>0</v>
      </c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</row>
    <row r="24" spans="1:64" x14ac:dyDescent="0.2">
      <c r="A24" s="34" t="str">
        <f>Year1-1&amp;" Residential Monthly EES Deferral"</f>
        <v>2024 Residential Monthly EES Deferral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 t="str">
        <f>Year1&amp;" Residential Monthly EES Deferral"</f>
        <v>2025 Residential Monthly EES Deferral</v>
      </c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 t="str">
        <f>Year2&amp;" Residential Monthly EES Deferral"</f>
        <v>2026 Residential Monthly EES Deferral</v>
      </c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 t="str">
        <f>Year3&amp;" Residential Monthly EES Deferral"</f>
        <v>2027 Residential Monthly EES Deferral</v>
      </c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</row>
    <row r="25" spans="1:64" x14ac:dyDescent="0.2">
      <c r="A25" s="34" t="s">
        <v>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 t="s">
        <v>1</v>
      </c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 t="s">
        <v>1</v>
      </c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 t="s">
        <v>1</v>
      </c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</row>
    <row r="26" spans="1:64" x14ac:dyDescent="0.2">
      <c r="A26" s="36"/>
      <c r="B26" s="35"/>
      <c r="C26" s="51" t="s">
        <v>8</v>
      </c>
      <c r="D26" s="71" t="s">
        <v>9</v>
      </c>
      <c r="E26" s="51" t="s">
        <v>10</v>
      </c>
      <c r="F26" s="53" t="s">
        <v>54</v>
      </c>
      <c r="G26" s="54" t="s">
        <v>55</v>
      </c>
      <c r="H26" s="53" t="s">
        <v>56</v>
      </c>
      <c r="I26" s="53" t="s">
        <v>57</v>
      </c>
      <c r="J26" s="53" t="s">
        <v>58</v>
      </c>
      <c r="K26" s="53" t="s">
        <v>74</v>
      </c>
      <c r="L26" s="72" t="s">
        <v>75</v>
      </c>
      <c r="M26" s="72" t="s">
        <v>76</v>
      </c>
      <c r="N26" s="72" t="s">
        <v>77</v>
      </c>
      <c r="O26" s="72" t="s">
        <v>78</v>
      </c>
      <c r="P26" s="72" t="s">
        <v>79</v>
      </c>
      <c r="Q26" s="36"/>
      <c r="R26" s="35"/>
      <c r="S26" s="51" t="s">
        <v>8</v>
      </c>
      <c r="T26" s="71" t="s">
        <v>9</v>
      </c>
      <c r="U26" s="51" t="s">
        <v>10</v>
      </c>
      <c r="V26" s="53" t="s">
        <v>54</v>
      </c>
      <c r="W26" s="54" t="s">
        <v>55</v>
      </c>
      <c r="X26" s="53" t="s">
        <v>56</v>
      </c>
      <c r="Y26" s="53" t="s">
        <v>57</v>
      </c>
      <c r="Z26" s="53" t="s">
        <v>58</v>
      </c>
      <c r="AA26" s="53" t="s">
        <v>74</v>
      </c>
      <c r="AB26" s="72" t="s">
        <v>75</v>
      </c>
      <c r="AC26" s="72" t="s">
        <v>76</v>
      </c>
      <c r="AD26" s="72" t="s">
        <v>77</v>
      </c>
      <c r="AE26" s="72" t="s">
        <v>78</v>
      </c>
      <c r="AF26" s="72" t="s">
        <v>79</v>
      </c>
      <c r="AG26" s="36"/>
      <c r="AH26" s="35"/>
      <c r="AI26" s="51" t="s">
        <v>8</v>
      </c>
      <c r="AJ26" s="71" t="s">
        <v>9</v>
      </c>
      <c r="AK26" s="51" t="s">
        <v>10</v>
      </c>
      <c r="AL26" s="53" t="s">
        <v>54</v>
      </c>
      <c r="AM26" s="54" t="s">
        <v>55</v>
      </c>
      <c r="AN26" s="53" t="s">
        <v>56</v>
      </c>
      <c r="AO26" s="53" t="s">
        <v>57</v>
      </c>
      <c r="AP26" s="53" t="s">
        <v>58</v>
      </c>
      <c r="AQ26" s="53" t="s">
        <v>74</v>
      </c>
      <c r="AR26" s="72" t="s">
        <v>75</v>
      </c>
      <c r="AS26" s="72" t="s">
        <v>76</v>
      </c>
      <c r="AT26" s="72" t="s">
        <v>77</v>
      </c>
      <c r="AU26" s="72" t="s">
        <v>78</v>
      </c>
      <c r="AV26" s="72" t="s">
        <v>79</v>
      </c>
      <c r="AW26" s="36"/>
      <c r="AX26" s="35"/>
      <c r="AY26" s="51" t="s">
        <v>8</v>
      </c>
      <c r="AZ26" s="71" t="s">
        <v>9</v>
      </c>
      <c r="BA26" s="51" t="s">
        <v>10</v>
      </c>
      <c r="BB26" s="53" t="s">
        <v>54</v>
      </c>
      <c r="BC26" s="73" t="s">
        <v>55</v>
      </c>
      <c r="BD26" s="53" t="s">
        <v>56</v>
      </c>
      <c r="BE26" s="53" t="s">
        <v>57</v>
      </c>
      <c r="BF26" s="53" t="s">
        <v>58</v>
      </c>
      <c r="BG26" s="53" t="s">
        <v>74</v>
      </c>
      <c r="BH26" s="72" t="s">
        <v>75</v>
      </c>
      <c r="BI26" s="72" t="s">
        <v>76</v>
      </c>
      <c r="BJ26" s="72" t="s">
        <v>77</v>
      </c>
      <c r="BK26" s="72" t="s">
        <v>78</v>
      </c>
      <c r="BL26" s="72" t="s">
        <v>79</v>
      </c>
    </row>
    <row r="27" spans="1:64" x14ac:dyDescent="0.2">
      <c r="A27" s="38"/>
      <c r="C27" s="51" t="s">
        <v>80</v>
      </c>
      <c r="D27" s="51" t="s">
        <v>80</v>
      </c>
      <c r="E27" s="51" t="s">
        <v>80</v>
      </c>
      <c r="F27" s="51" t="s">
        <v>80</v>
      </c>
      <c r="G27" s="51" t="s">
        <v>80</v>
      </c>
      <c r="H27" s="51" t="s">
        <v>80</v>
      </c>
      <c r="I27" s="51" t="s">
        <v>80</v>
      </c>
      <c r="J27" s="51" t="s">
        <v>80</v>
      </c>
      <c r="K27" s="51" t="s">
        <v>80</v>
      </c>
      <c r="L27" s="51" t="s">
        <v>80</v>
      </c>
      <c r="M27" s="51" t="s">
        <v>80</v>
      </c>
      <c r="N27" s="51" t="s">
        <v>80</v>
      </c>
      <c r="O27" s="51" t="s">
        <v>80</v>
      </c>
      <c r="Q27" s="38"/>
      <c r="S27" s="51" t="str">
        <f>O27</f>
        <v>Actual</v>
      </c>
      <c r="T27" s="51" t="s">
        <v>80</v>
      </c>
      <c r="U27" s="51" t="s">
        <v>80</v>
      </c>
      <c r="V27" s="51" t="s">
        <v>80</v>
      </c>
      <c r="W27" s="51" t="s">
        <v>80</v>
      </c>
      <c r="X27" s="51" t="s">
        <v>80</v>
      </c>
      <c r="Y27" s="51" t="s">
        <v>80</v>
      </c>
      <c r="Z27" s="51" t="s">
        <v>80</v>
      </c>
      <c r="AA27" s="51" t="s">
        <v>80</v>
      </c>
      <c r="AB27" s="51" t="s">
        <v>80</v>
      </c>
      <c r="AC27" s="51" t="s">
        <v>80</v>
      </c>
      <c r="AD27" s="51" t="s">
        <v>80</v>
      </c>
      <c r="AE27" s="51" t="s">
        <v>80</v>
      </c>
      <c r="AG27" s="38"/>
      <c r="AI27" s="51" t="str">
        <f>AE27</f>
        <v>Actual</v>
      </c>
      <c r="AJ27" s="51" t="s">
        <v>80</v>
      </c>
      <c r="AK27" s="51" t="s">
        <v>80</v>
      </c>
      <c r="AL27" s="51" t="s">
        <v>80</v>
      </c>
      <c r="AM27" s="51" t="s">
        <v>80</v>
      </c>
      <c r="AN27" s="51" t="s">
        <v>80</v>
      </c>
      <c r="AO27" s="51" t="s">
        <v>80</v>
      </c>
      <c r="AP27" s="51" t="s">
        <v>80</v>
      </c>
      <c r="AQ27" s="51" t="s">
        <v>80</v>
      </c>
      <c r="AR27" s="51" t="s">
        <v>80</v>
      </c>
      <c r="AS27" s="51" t="s">
        <v>103</v>
      </c>
      <c r="AT27" s="51" t="s">
        <v>103</v>
      </c>
      <c r="AU27" s="51" t="s">
        <v>103</v>
      </c>
      <c r="AW27" s="38"/>
      <c r="AY27" s="51" t="str">
        <f>AU27</f>
        <v>Planned</v>
      </c>
      <c r="AZ27" s="51" t="s">
        <v>103</v>
      </c>
      <c r="BA27" s="51" t="s">
        <v>103</v>
      </c>
      <c r="BB27" s="51" t="s">
        <v>103</v>
      </c>
      <c r="BC27" s="51" t="s">
        <v>103</v>
      </c>
      <c r="BD27" s="51" t="s">
        <v>103</v>
      </c>
      <c r="BE27" s="51" t="s">
        <v>103</v>
      </c>
      <c r="BF27" s="51" t="s">
        <v>103</v>
      </c>
      <c r="BG27" s="51" t="s">
        <v>103</v>
      </c>
      <c r="BH27" s="51" t="s">
        <v>103</v>
      </c>
      <c r="BI27" s="51" t="s">
        <v>103</v>
      </c>
      <c r="BJ27" s="51" t="s">
        <v>103</v>
      </c>
      <c r="BK27" s="51" t="s">
        <v>103</v>
      </c>
    </row>
    <row r="28" spans="1:64" ht="15" x14ac:dyDescent="0.35">
      <c r="A28" s="74" t="s">
        <v>2</v>
      </c>
      <c r="B28" s="75" t="s">
        <v>81</v>
      </c>
      <c r="C28" s="74">
        <f>D28-31</f>
        <v>45261</v>
      </c>
      <c r="D28" s="74">
        <f>DATE(Year1-1,1,1)</f>
        <v>45292</v>
      </c>
      <c r="E28" s="74">
        <f>D28+31</f>
        <v>45323</v>
      </c>
      <c r="F28" s="74">
        <f>E28+29</f>
        <v>45352</v>
      </c>
      <c r="G28" s="74">
        <f>F28+31</f>
        <v>45383</v>
      </c>
      <c r="H28" s="74">
        <f>G28+30</f>
        <v>45413</v>
      </c>
      <c r="I28" s="74">
        <f>H28+31</f>
        <v>45444</v>
      </c>
      <c r="J28" s="74">
        <f>I28+30</f>
        <v>45474</v>
      </c>
      <c r="K28" s="74">
        <f>J28+31</f>
        <v>45505</v>
      </c>
      <c r="L28" s="74">
        <f>K28+31</f>
        <v>45536</v>
      </c>
      <c r="M28" s="74">
        <f>L28+30</f>
        <v>45566</v>
      </c>
      <c r="N28" s="74">
        <f>M28+31</f>
        <v>45597</v>
      </c>
      <c r="O28" s="74">
        <f>N28+30</f>
        <v>45627</v>
      </c>
      <c r="P28" s="74" t="s">
        <v>46</v>
      </c>
      <c r="Q28" s="74" t="s">
        <v>2</v>
      </c>
      <c r="R28" s="75" t="s">
        <v>81</v>
      </c>
      <c r="S28" s="74">
        <f>T28-31</f>
        <v>45627</v>
      </c>
      <c r="T28" s="74">
        <f>DATE(Year1,1,1)</f>
        <v>45658</v>
      </c>
      <c r="U28" s="74">
        <f>T28+31</f>
        <v>45689</v>
      </c>
      <c r="V28" s="74">
        <f>U28+28</f>
        <v>45717</v>
      </c>
      <c r="W28" s="74">
        <f>V28+31</f>
        <v>45748</v>
      </c>
      <c r="X28" s="74">
        <f>W28+30</f>
        <v>45778</v>
      </c>
      <c r="Y28" s="74">
        <f>X28+31</f>
        <v>45809</v>
      </c>
      <c r="Z28" s="74">
        <f>Y28+30</f>
        <v>45839</v>
      </c>
      <c r="AA28" s="74">
        <f>Z28+31</f>
        <v>45870</v>
      </c>
      <c r="AB28" s="74">
        <f>AA28+31</f>
        <v>45901</v>
      </c>
      <c r="AC28" s="74">
        <f>AB28+30</f>
        <v>45931</v>
      </c>
      <c r="AD28" s="74">
        <f>AC28+31</f>
        <v>45962</v>
      </c>
      <c r="AE28" s="74">
        <f>AD28+30</f>
        <v>45992</v>
      </c>
      <c r="AF28" s="74" t="s">
        <v>46</v>
      </c>
      <c r="AG28" s="74" t="s">
        <v>2</v>
      </c>
      <c r="AH28" s="75" t="s">
        <v>81</v>
      </c>
      <c r="AI28" s="74">
        <f>AJ28-31</f>
        <v>45992</v>
      </c>
      <c r="AJ28" s="74">
        <f>DATE(Year2,1,1)</f>
        <v>46023</v>
      </c>
      <c r="AK28" s="74">
        <f>AJ28+31</f>
        <v>46054</v>
      </c>
      <c r="AL28" s="74">
        <f>AK28+29</f>
        <v>46083</v>
      </c>
      <c r="AM28" s="74">
        <f>AL28+31</f>
        <v>46114</v>
      </c>
      <c r="AN28" s="74">
        <f>AM28+30</f>
        <v>46144</v>
      </c>
      <c r="AO28" s="74">
        <f>AN28+31</f>
        <v>46175</v>
      </c>
      <c r="AP28" s="74">
        <f>AO28+30</f>
        <v>46205</v>
      </c>
      <c r="AQ28" s="74">
        <f>AP28+31</f>
        <v>46236</v>
      </c>
      <c r="AR28" s="74">
        <f>AQ28+31</f>
        <v>46267</v>
      </c>
      <c r="AS28" s="74">
        <f>AR28+30</f>
        <v>46297</v>
      </c>
      <c r="AT28" s="74">
        <f>AS28+31</f>
        <v>46328</v>
      </c>
      <c r="AU28" s="74">
        <f>AT28+30</f>
        <v>46358</v>
      </c>
      <c r="AV28" s="74" t="s">
        <v>46</v>
      </c>
      <c r="AW28" s="74" t="s">
        <v>2</v>
      </c>
      <c r="AX28" s="75" t="s">
        <v>81</v>
      </c>
      <c r="AY28" s="74">
        <f>AZ28-31</f>
        <v>46357</v>
      </c>
      <c r="AZ28" s="74">
        <f>DATE(Year3,1,1)</f>
        <v>46388</v>
      </c>
      <c r="BA28" s="74">
        <f>AZ28+31</f>
        <v>46419</v>
      </c>
      <c r="BB28" s="74">
        <f>BA28+29</f>
        <v>46448</v>
      </c>
      <c r="BC28" s="74">
        <f>BB28+31</f>
        <v>46479</v>
      </c>
      <c r="BD28" s="74">
        <f>BC28+30</f>
        <v>46509</v>
      </c>
      <c r="BE28" s="74">
        <f>BD28+31</f>
        <v>46540</v>
      </c>
      <c r="BF28" s="74">
        <f>BE28+30</f>
        <v>46570</v>
      </c>
      <c r="BG28" s="74">
        <f>BF28+31</f>
        <v>46601</v>
      </c>
      <c r="BH28" s="74">
        <f>BG28+31</f>
        <v>46632</v>
      </c>
      <c r="BI28" s="74">
        <f>BH28+30</f>
        <v>46662</v>
      </c>
      <c r="BJ28" s="74">
        <f>BI28+31</f>
        <v>46693</v>
      </c>
      <c r="BK28" s="74">
        <f>BJ28+30</f>
        <v>46723</v>
      </c>
      <c r="BL28" s="74" t="s">
        <v>46</v>
      </c>
    </row>
    <row r="29" spans="1:64" x14ac:dyDescent="0.2">
      <c r="A29" s="38"/>
      <c r="Q29" s="38"/>
      <c r="AG29" s="38"/>
      <c r="AW29" s="38"/>
    </row>
    <row r="30" spans="1:64" x14ac:dyDescent="0.2">
      <c r="A30" s="38">
        <v>1</v>
      </c>
      <c r="B30" s="12" t="s">
        <v>82</v>
      </c>
      <c r="C30" s="76"/>
      <c r="D30" s="77">
        <v>0</v>
      </c>
      <c r="E30" s="77">
        <v>-223.2781038575539</v>
      </c>
      <c r="F30" s="77">
        <v>-223.2781038575539</v>
      </c>
      <c r="G30" s="77">
        <v>-223.2781038575539</v>
      </c>
      <c r="H30" s="77">
        <v>-223.2781038575539</v>
      </c>
      <c r="I30" s="77">
        <v>-223.2781038575539</v>
      </c>
      <c r="J30" s="77">
        <v>-223.2781038575539</v>
      </c>
      <c r="K30" s="77">
        <v>-223.2781038575539</v>
      </c>
      <c r="L30" s="77">
        <v>-446.5562077151078</v>
      </c>
      <c r="M30" s="77">
        <v>-111.63905192877695</v>
      </c>
      <c r="N30" s="77">
        <v>-223.2781038575539</v>
      </c>
      <c r="O30" s="77">
        <v>-369.35946263833938</v>
      </c>
      <c r="P30" s="77">
        <f t="shared" ref="P30:P36" si="0">SUM(D30:O30)</f>
        <v>-2713.7795531426555</v>
      </c>
      <c r="Q30" s="38">
        <v>1</v>
      </c>
      <c r="R30" s="12" t="s">
        <v>82</v>
      </c>
      <c r="S30" s="76"/>
      <c r="T30" s="77">
        <v>0</v>
      </c>
      <c r="U30" s="77">
        <v>-220.6945549027964</v>
      </c>
      <c r="V30" s="77">
        <v>-220.6945549027964</v>
      </c>
      <c r="W30" s="77">
        <v>-220.6945549027964</v>
      </c>
      <c r="X30" s="77">
        <v>-220.6945549027964</v>
      </c>
      <c r="Y30" s="77">
        <v>-220.6945549027964</v>
      </c>
      <c r="Z30" s="77">
        <v>-220.6945549027964</v>
      </c>
      <c r="AA30" s="77">
        <v>-235.15203120149209</v>
      </c>
      <c r="AB30" s="77">
        <v>-235.15203120149209</v>
      </c>
      <c r="AC30" s="77">
        <v>-235.15203120149209</v>
      </c>
      <c r="AD30" s="77">
        <v>-235.15203120149209</v>
      </c>
      <c r="AE30" s="77">
        <v>-455.17466276753782</v>
      </c>
      <c r="AF30" s="77">
        <f t="shared" ref="AF30:AF36" si="1">SUM(T30:AE30)</f>
        <v>-2719.9501169902846</v>
      </c>
      <c r="AG30" s="38">
        <v>1</v>
      </c>
      <c r="AH30" s="12" t="s">
        <v>82</v>
      </c>
      <c r="AI30" s="76"/>
      <c r="AJ30" s="77">
        <v>0</v>
      </c>
      <c r="AK30" s="77">
        <v>-255.19958902846363</v>
      </c>
      <c r="AL30" s="77">
        <v>-255.19958902846363</v>
      </c>
      <c r="AM30" s="77">
        <v>-255.19958902846363</v>
      </c>
      <c r="AN30" s="77">
        <v>-255.19958902846363</v>
      </c>
      <c r="AO30" s="77">
        <v>-255.19958902846363</v>
      </c>
      <c r="AP30" s="77">
        <v>-255.19958902846363</v>
      </c>
      <c r="AQ30" s="77">
        <v>-255.19958902846363</v>
      </c>
      <c r="AR30" s="77">
        <v>-255.19958902846363</v>
      </c>
      <c r="AS30" s="77">
        <v>-255.19881856718823</v>
      </c>
      <c r="AT30" s="77">
        <v>-255.19881856718823</v>
      </c>
      <c r="AU30" s="77">
        <v>-510.39763713437645</v>
      </c>
      <c r="AV30" s="77">
        <f t="shared" ref="AV30:AV36" si="2">SUM(AJ30:AU30)</f>
        <v>-3062.3919864964619</v>
      </c>
      <c r="AW30" s="38">
        <v>1</v>
      </c>
      <c r="AX30" s="12" t="s">
        <v>82</v>
      </c>
      <c r="AY30" s="76"/>
      <c r="AZ30" s="77">
        <v>0</v>
      </c>
      <c r="BA30" s="77">
        <v>-215.4677300000902</v>
      </c>
      <c r="BB30" s="77">
        <v>-215.4677300000902</v>
      </c>
      <c r="BC30" s="77">
        <v>-215.4677300000902</v>
      </c>
      <c r="BD30" s="77">
        <v>-215.4677300000902</v>
      </c>
      <c r="BE30" s="77">
        <v>-215.4677300000902</v>
      </c>
      <c r="BF30" s="77">
        <v>-215.4677300000902</v>
      </c>
      <c r="BG30" s="77">
        <v>-215.4677300000902</v>
      </c>
      <c r="BH30" s="77">
        <v>-215.4677300000902</v>
      </c>
      <c r="BI30" s="77">
        <v>-215.4677300000902</v>
      </c>
      <c r="BJ30" s="77">
        <v>-215.4677300000902</v>
      </c>
      <c r="BK30" s="77">
        <v>-430.9354600001804</v>
      </c>
      <c r="BL30" s="77">
        <f t="shared" ref="BL30:BL36" si="3">SUM(AZ30:BK30)</f>
        <v>-2585.6127600010818</v>
      </c>
    </row>
    <row r="31" spans="1:64" x14ac:dyDescent="0.2">
      <c r="A31" s="38">
        <v>2</v>
      </c>
      <c r="B31" s="12" t="s">
        <v>83</v>
      </c>
      <c r="C31" s="76"/>
      <c r="D31" s="77">
        <v>0</v>
      </c>
      <c r="E31" s="77">
        <v>-2010.6804898487924</v>
      </c>
      <c r="F31" s="77">
        <v>-2010.6804898487924</v>
      </c>
      <c r="G31" s="77">
        <v>-2010.6804898487924</v>
      </c>
      <c r="H31" s="77">
        <v>-2010.6804898487924</v>
      </c>
      <c r="I31" s="77">
        <v>-2010.6804898487924</v>
      </c>
      <c r="J31" s="77">
        <v>-2010.6804898487924</v>
      </c>
      <c r="P31" s="77">
        <f t="shared" si="0"/>
        <v>-12064.082939092754</v>
      </c>
      <c r="Q31" s="38">
        <v>2</v>
      </c>
      <c r="R31" s="12" t="s">
        <v>84</v>
      </c>
      <c r="S31" s="76"/>
      <c r="T31" s="77">
        <v>0</v>
      </c>
      <c r="U31" s="77">
        <v>-4173.0249789467189</v>
      </c>
      <c r="V31" s="77">
        <v>-4173.0249789467189</v>
      </c>
      <c r="W31" s="77">
        <v>-4173.0249789467189</v>
      </c>
      <c r="X31" s="77">
        <v>-4173.0249789467189</v>
      </c>
      <c r="Y31" s="77">
        <v>-4173.0249789467189</v>
      </c>
      <c r="Z31" s="77">
        <v>-4173.0249789467189</v>
      </c>
      <c r="AA31" s="77"/>
      <c r="AB31" s="77"/>
      <c r="AC31" s="77"/>
      <c r="AD31" s="77"/>
      <c r="AE31" s="77"/>
      <c r="AF31" s="77">
        <f t="shared" si="1"/>
        <v>-25038.149873680315</v>
      </c>
      <c r="AG31" s="38">
        <v>2</v>
      </c>
      <c r="AH31" s="12" t="s">
        <v>85</v>
      </c>
      <c r="AI31" s="76"/>
      <c r="AJ31" s="77">
        <v>0</v>
      </c>
      <c r="AK31" s="77">
        <v>-2772.5801817986644</v>
      </c>
      <c r="AL31" s="77">
        <v>-2772.5801817986644</v>
      </c>
      <c r="AM31" s="77">
        <v>-2772.5801817986644</v>
      </c>
      <c r="AN31" s="77">
        <v>-2772.5801817986644</v>
      </c>
      <c r="AO31" s="77">
        <v>-2772.5801817986644</v>
      </c>
      <c r="AP31" s="77">
        <v>-2772.5801817986644</v>
      </c>
      <c r="AQ31" s="77">
        <v>-2772.5801817986644</v>
      </c>
      <c r="AR31" s="77">
        <v>-2772.5801817986644</v>
      </c>
      <c r="AS31" s="77">
        <v>-2772.5803509748644</v>
      </c>
      <c r="AT31" s="77">
        <v>-2772.5803509748644</v>
      </c>
      <c r="AU31" s="77">
        <v>-5545.1607019497287</v>
      </c>
      <c r="AV31" s="77">
        <f t="shared" si="2"/>
        <v>-33270.962858288774</v>
      </c>
      <c r="AW31" s="38">
        <v>2</v>
      </c>
      <c r="AX31" s="12" t="s">
        <v>85</v>
      </c>
      <c r="AY31" s="76"/>
      <c r="AZ31" s="77">
        <v>0</v>
      </c>
      <c r="BA31" s="77">
        <v>-2760.2614037981198</v>
      </c>
      <c r="BB31" s="77">
        <v>-2760.2614037981198</v>
      </c>
      <c r="BC31" s="77">
        <v>-2760.2614037981198</v>
      </c>
      <c r="BD31" s="77">
        <v>-2760.2614037981198</v>
      </c>
      <c r="BE31" s="77">
        <v>-2760.2614037981198</v>
      </c>
      <c r="BF31" s="77">
        <v>-2760.2614037981198</v>
      </c>
      <c r="BG31" s="77">
        <v>-2760.2614037981198</v>
      </c>
      <c r="BH31" s="77">
        <v>-2760.2614037981198</v>
      </c>
      <c r="BI31" s="77">
        <v>-2760.2614037981198</v>
      </c>
      <c r="BJ31" s="77">
        <v>-2760.2614037981198</v>
      </c>
      <c r="BK31" s="77">
        <v>-5520.5228075962395</v>
      </c>
      <c r="BL31" s="77">
        <f t="shared" si="3"/>
        <v>-33123.136845577428</v>
      </c>
    </row>
    <row r="32" spans="1:64" x14ac:dyDescent="0.2">
      <c r="A32" s="38">
        <v>3</v>
      </c>
      <c r="B32" s="12" t="s">
        <v>86</v>
      </c>
      <c r="C32" s="76"/>
      <c r="D32" s="77"/>
      <c r="E32" s="77"/>
      <c r="F32" s="77"/>
      <c r="G32" s="77"/>
      <c r="H32" s="77"/>
      <c r="I32" s="77"/>
      <c r="J32" s="77"/>
      <c r="K32" s="77">
        <v>-1301.3389543019364</v>
      </c>
      <c r="L32" s="77">
        <v>-4973.4129246165294</v>
      </c>
      <c r="M32" s="77">
        <v>-1274.6746579226578</v>
      </c>
      <c r="N32" s="77">
        <v>-2549.3493158453157</v>
      </c>
      <c r="O32" s="77">
        <v>-4603.8207247860646</v>
      </c>
      <c r="P32" s="77">
        <f t="shared" si="0"/>
        <v>-14702.596577472503</v>
      </c>
      <c r="Q32" s="38">
        <v>3</v>
      </c>
      <c r="R32" s="12" t="s">
        <v>87</v>
      </c>
      <c r="S32" s="76"/>
      <c r="T32" s="77"/>
      <c r="U32" s="77"/>
      <c r="V32" s="77"/>
      <c r="W32" s="77"/>
      <c r="X32" s="77"/>
      <c r="Y32" s="77"/>
      <c r="Z32" s="77"/>
      <c r="AA32" s="77">
        <v>-2447.3042106880193</v>
      </c>
      <c r="AB32" s="77">
        <v>-2447.3042106880193</v>
      </c>
      <c r="AC32" s="77">
        <v>-2447.3042106880193</v>
      </c>
      <c r="AD32" s="77">
        <v>-2447.3042106880193</v>
      </c>
      <c r="AE32" s="77">
        <v>-3215.4037438573064</v>
      </c>
      <c r="AF32" s="77">
        <f t="shared" si="1"/>
        <v>-13004.620586609384</v>
      </c>
      <c r="AG32" s="38"/>
      <c r="AI32" s="76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>
        <f t="shared" si="2"/>
        <v>0</v>
      </c>
      <c r="AW32" s="38"/>
      <c r="AY32" s="76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</row>
    <row r="33" spans="1:64" x14ac:dyDescent="0.2">
      <c r="A33" s="38">
        <v>4</v>
      </c>
      <c r="B33" s="12" t="s">
        <v>88</v>
      </c>
      <c r="C33" s="76"/>
      <c r="D33" s="77">
        <v>-41.851383212660899</v>
      </c>
      <c r="E33" s="77">
        <v>-68.943921008502457</v>
      </c>
      <c r="F33" s="77">
        <v>-74.500880370470242</v>
      </c>
      <c r="G33" s="77">
        <v>-84.316920186262436</v>
      </c>
      <c r="H33" s="77">
        <v>-64.536896011104062</v>
      </c>
      <c r="I33" s="77">
        <v>-106.30785771516882</v>
      </c>
      <c r="J33" s="77">
        <v>-135.2083976090122</v>
      </c>
      <c r="K33" s="77">
        <v>-145.13406049721303</v>
      </c>
      <c r="L33" s="77">
        <v>-128.58213190060118</v>
      </c>
      <c r="M33" s="77">
        <v>-133.75864489488575</v>
      </c>
      <c r="N33" s="77">
        <v>-119.14710774903443</v>
      </c>
      <c r="O33" s="77">
        <v>-207.53837166117179</v>
      </c>
      <c r="P33" s="77">
        <f t="shared" si="0"/>
        <v>-1309.8265728160873</v>
      </c>
      <c r="Q33" s="38">
        <v>4</v>
      </c>
      <c r="R33" s="12" t="s">
        <v>88</v>
      </c>
      <c r="S33" s="76"/>
      <c r="T33" s="77">
        <v>-87.58090041413449</v>
      </c>
      <c r="U33" s="77">
        <v>-131.34652847005461</v>
      </c>
      <c r="V33" s="77">
        <v>-127.93200148371345</v>
      </c>
      <c r="W33" s="77">
        <v>-122.20913293697672</v>
      </c>
      <c r="X33" s="77">
        <v>-130.00988469058512</v>
      </c>
      <c r="Y33" s="77">
        <v>-110.11285686109754</v>
      </c>
      <c r="Z33" s="77">
        <v>-74.458508547403582</v>
      </c>
      <c r="AA33" s="77">
        <v>-76.696429456215526</v>
      </c>
      <c r="AB33" s="77">
        <v>-72.358472177221216</v>
      </c>
      <c r="AC33" s="77">
        <v>-79.569981385775861</v>
      </c>
      <c r="AD33" s="77">
        <v>-53.661253127130799</v>
      </c>
      <c r="AE33" s="77">
        <v>-81.685461772255039</v>
      </c>
      <c r="AF33" s="77">
        <f t="shared" si="1"/>
        <v>-1147.6214113225635</v>
      </c>
      <c r="AG33" s="38">
        <v>3</v>
      </c>
      <c r="AH33" s="12" t="s">
        <v>88</v>
      </c>
      <c r="AI33" s="76"/>
      <c r="AJ33" s="77">
        <v>-79.425700478528128</v>
      </c>
      <c r="AK33" s="77">
        <v>-72.333273820254519</v>
      </c>
      <c r="AL33" s="77">
        <v>-73.95585115325207</v>
      </c>
      <c r="AM33" s="77">
        <v>-62.640386131303771</v>
      </c>
      <c r="AN33" s="77">
        <v>-66.703584085399342</v>
      </c>
      <c r="AO33" s="77">
        <v>-73.388093056312456</v>
      </c>
      <c r="AP33" s="77">
        <v>-68.180496040334077</v>
      </c>
      <c r="AQ33" s="77">
        <v>-59.034476628693731</v>
      </c>
      <c r="AR33" s="77">
        <v>-55.436146869953504</v>
      </c>
      <c r="AS33" s="77">
        <v>-18.711648588021944</v>
      </c>
      <c r="AT33" s="77">
        <v>-18.711648588021944</v>
      </c>
      <c r="AU33" s="77">
        <v>-18.711648588021944</v>
      </c>
      <c r="AV33" s="77">
        <f t="shared" si="2"/>
        <v>-667.23295402809742</v>
      </c>
      <c r="AW33" s="38">
        <v>3</v>
      </c>
      <c r="AX33" s="12" t="s">
        <v>88</v>
      </c>
      <c r="AY33" s="76"/>
      <c r="AZ33" s="77">
        <v>-52.536778395767087</v>
      </c>
      <c r="BA33" s="77">
        <v>-52.536778395767087</v>
      </c>
      <c r="BB33" s="77">
        <v>-52.536778395767087</v>
      </c>
      <c r="BC33" s="77">
        <v>-52.536778395767087</v>
      </c>
      <c r="BD33" s="77">
        <v>-52.536778395767087</v>
      </c>
      <c r="BE33" s="77">
        <v>-52.536778395767087</v>
      </c>
      <c r="BF33" s="77">
        <v>-52.536778395767087</v>
      </c>
      <c r="BG33" s="77">
        <v>-52.536778395767087</v>
      </c>
      <c r="BH33" s="77">
        <v>-52.536778395767087</v>
      </c>
      <c r="BI33" s="77">
        <v>-52.536778395767087</v>
      </c>
      <c r="BJ33" s="77">
        <v>-52.536778395767087</v>
      </c>
      <c r="BK33" s="77">
        <v>-52.536778395767087</v>
      </c>
      <c r="BL33" s="77">
        <f>SUM(AZ33:BK33)</f>
        <v>-630.4413407492051</v>
      </c>
    </row>
    <row r="34" spans="1:64" x14ac:dyDescent="0.2">
      <c r="A34" s="38">
        <v>5</v>
      </c>
      <c r="B34" s="12" t="s">
        <v>89</v>
      </c>
      <c r="C34" s="76"/>
      <c r="D34" s="77">
        <v>-901.7662307737329</v>
      </c>
      <c r="E34" s="77">
        <v>0</v>
      </c>
      <c r="F34" s="77">
        <v>0</v>
      </c>
      <c r="G34" s="77">
        <v>-1147.6822497737298</v>
      </c>
      <c r="H34" s="77">
        <v>0</v>
      </c>
      <c r="I34" s="77">
        <v>-1644.7534289689904</v>
      </c>
      <c r="J34" s="77">
        <v>0</v>
      </c>
      <c r="K34" s="77">
        <v>0</v>
      </c>
      <c r="L34" s="77">
        <v>0</v>
      </c>
      <c r="M34" s="77">
        <v>0</v>
      </c>
      <c r="N34" s="77">
        <v>-1363.7102840274076</v>
      </c>
      <c r="O34" s="77">
        <v>0</v>
      </c>
      <c r="P34" s="77">
        <f t="shared" si="0"/>
        <v>-5057.9121935438607</v>
      </c>
      <c r="Q34" s="38">
        <v>5</v>
      </c>
      <c r="R34" s="12" t="s">
        <v>89</v>
      </c>
      <c r="S34" s="76"/>
      <c r="T34" s="77">
        <v>0</v>
      </c>
      <c r="U34" s="77">
        <v>-1538.44907242</v>
      </c>
      <c r="V34" s="77">
        <v>-1341.0280377399999</v>
      </c>
      <c r="W34" s="77">
        <v>0</v>
      </c>
      <c r="X34" s="77">
        <v>-1054.9472704300001</v>
      </c>
      <c r="Y34" s="77">
        <v>0</v>
      </c>
      <c r="Z34" s="77">
        <v>0</v>
      </c>
      <c r="AA34" s="77">
        <v>0</v>
      </c>
      <c r="AB34" s="77">
        <v>0</v>
      </c>
      <c r="AC34" s="77">
        <v>-1831.9121611300002</v>
      </c>
      <c r="AD34" s="77">
        <v>0</v>
      </c>
      <c r="AE34" s="77">
        <v>0</v>
      </c>
      <c r="AF34" s="77">
        <f t="shared" si="1"/>
        <v>-5766.3365417200002</v>
      </c>
      <c r="AG34" s="38">
        <v>4</v>
      </c>
      <c r="AH34" s="12" t="s">
        <v>89</v>
      </c>
      <c r="AI34" s="76"/>
      <c r="AJ34" s="77">
        <v>0</v>
      </c>
      <c r="AK34" s="77">
        <v>0</v>
      </c>
      <c r="AL34" s="77">
        <v>-2198.4777241900001</v>
      </c>
      <c r="AM34" s="77">
        <v>0</v>
      </c>
      <c r="AN34" s="77">
        <v>-3938.2732252999999</v>
      </c>
      <c r="AO34" s="77">
        <v>0</v>
      </c>
      <c r="AP34" s="77">
        <v>0</v>
      </c>
      <c r="AQ34" s="77">
        <v>0</v>
      </c>
      <c r="AR34" s="77">
        <v>-3886.1409756600001</v>
      </c>
      <c r="AS34" s="77">
        <v>0</v>
      </c>
      <c r="AT34" s="77">
        <v>0</v>
      </c>
      <c r="AU34" s="77">
        <v>0</v>
      </c>
      <c r="AV34" s="77">
        <f t="shared" si="2"/>
        <v>-10022.891925150001</v>
      </c>
      <c r="AW34" s="38">
        <v>4</v>
      </c>
      <c r="AX34" s="12" t="s">
        <v>89</v>
      </c>
      <c r="AY34" s="76"/>
      <c r="AZ34" s="77">
        <v>0</v>
      </c>
      <c r="BA34" s="77">
        <v>0</v>
      </c>
      <c r="BB34" s="77">
        <v>-725.79398531431366</v>
      </c>
      <c r="BC34" s="77">
        <v>0</v>
      </c>
      <c r="BD34" s="77">
        <v>0</v>
      </c>
      <c r="BE34" s="77">
        <v>-725.79398531431366</v>
      </c>
      <c r="BF34" s="77">
        <v>0</v>
      </c>
      <c r="BG34" s="77">
        <v>0</v>
      </c>
      <c r="BH34" s="77">
        <v>-725.79398531431366</v>
      </c>
      <c r="BI34" s="77">
        <v>0</v>
      </c>
      <c r="BJ34" s="77">
        <v>0</v>
      </c>
      <c r="BK34" s="77">
        <v>-725.79398531431366</v>
      </c>
      <c r="BL34" s="77">
        <f t="shared" si="3"/>
        <v>-2903.1759412572546</v>
      </c>
    </row>
    <row r="35" spans="1:64" ht="15" x14ac:dyDescent="0.35">
      <c r="A35" s="38">
        <v>6</v>
      </c>
      <c r="B35" s="12" t="s">
        <v>90</v>
      </c>
      <c r="C35" s="76"/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-0.63</v>
      </c>
      <c r="M35" s="78">
        <v>0</v>
      </c>
      <c r="N35" s="78">
        <v>0</v>
      </c>
      <c r="O35" s="78">
        <v>-0.39900000000000002</v>
      </c>
      <c r="P35" s="78">
        <f t="shared" si="0"/>
        <v>-1.0289999999999999</v>
      </c>
      <c r="Q35" s="38">
        <v>6</v>
      </c>
      <c r="R35" s="12" t="s">
        <v>90</v>
      </c>
      <c r="S35" s="76"/>
      <c r="T35" s="78">
        <v>0</v>
      </c>
      <c r="U35" s="78">
        <v>0</v>
      </c>
      <c r="V35" s="78">
        <v>0</v>
      </c>
      <c r="W35" s="78">
        <v>-0.63600000000000001</v>
      </c>
      <c r="X35" s="78">
        <v>0</v>
      </c>
      <c r="Y35" s="78">
        <v>-0.39</v>
      </c>
      <c r="Z35" s="78">
        <v>0</v>
      </c>
      <c r="AA35" s="78">
        <v>-0.64600000000000002</v>
      </c>
      <c r="AB35" s="78">
        <v>0</v>
      </c>
      <c r="AC35" s="78">
        <v>0</v>
      </c>
      <c r="AD35" s="78">
        <v>-1.365</v>
      </c>
      <c r="AE35" s="78">
        <v>0</v>
      </c>
      <c r="AF35" s="78">
        <f t="shared" si="1"/>
        <v>-3.0369999999999999</v>
      </c>
      <c r="AG35" s="38">
        <v>5</v>
      </c>
      <c r="AH35" s="12" t="s">
        <v>90</v>
      </c>
      <c r="AI35" s="76"/>
      <c r="AJ35" s="78">
        <v>0</v>
      </c>
      <c r="AK35" s="78">
        <v>-1.2869999999999999</v>
      </c>
      <c r="AL35" s="78">
        <v>0</v>
      </c>
      <c r="AM35" s="78">
        <v>0</v>
      </c>
      <c r="AN35" s="78">
        <v>-0.51479999999999992</v>
      </c>
      <c r="AO35" s="78">
        <v>0</v>
      </c>
      <c r="AP35" s="78">
        <v>0</v>
      </c>
      <c r="AQ35" s="78">
        <v>-0.58875</v>
      </c>
      <c r="AR35" s="78">
        <v>0</v>
      </c>
      <c r="AS35" s="78">
        <v>-16.4467</v>
      </c>
      <c r="AT35" s="78">
        <v>0</v>
      </c>
      <c r="AU35" s="78">
        <v>-1.1116874999999999</v>
      </c>
      <c r="AV35" s="78">
        <f>SUM(AJ35:AU35)</f>
        <v>-19.9489375</v>
      </c>
      <c r="AW35" s="38">
        <v>5</v>
      </c>
      <c r="AX35" s="12" t="s">
        <v>90</v>
      </c>
      <c r="AY35" s="76"/>
      <c r="AZ35" s="78">
        <v>0</v>
      </c>
      <c r="BA35" s="78">
        <v>0</v>
      </c>
      <c r="BB35" s="78">
        <v>-1.1116874999999999</v>
      </c>
      <c r="BC35" s="78">
        <v>0</v>
      </c>
      <c r="BD35" s="78">
        <v>0</v>
      </c>
      <c r="BE35" s="78">
        <v>-1.1116874999999999</v>
      </c>
      <c r="BF35" s="78">
        <v>0</v>
      </c>
      <c r="BG35" s="78">
        <v>0</v>
      </c>
      <c r="BH35" s="78">
        <v>-1.1116874999999999</v>
      </c>
      <c r="BI35" s="78">
        <v>0</v>
      </c>
      <c r="BJ35" s="78">
        <v>0</v>
      </c>
      <c r="BK35" s="78">
        <v>-1.1116874999999999</v>
      </c>
      <c r="BL35" s="78">
        <f>SUM(AZ35:BK35)</f>
        <v>-4.4467499999999998</v>
      </c>
    </row>
    <row r="36" spans="1:64" x14ac:dyDescent="0.2">
      <c r="A36" s="38">
        <v>7</v>
      </c>
      <c r="B36" s="12" t="s">
        <v>91</v>
      </c>
      <c r="C36" s="76"/>
      <c r="D36" s="77">
        <f t="shared" ref="D36:N36" si="4">SUM(D30:D35)</f>
        <v>-943.61761398639385</v>
      </c>
      <c r="E36" s="77">
        <f t="shared" si="4"/>
        <v>-2302.9025147148486</v>
      </c>
      <c r="F36" s="77">
        <f t="shared" si="4"/>
        <v>-2308.4594740768166</v>
      </c>
      <c r="G36" s="77">
        <f t="shared" si="4"/>
        <v>-3465.9577636663385</v>
      </c>
      <c r="H36" s="77">
        <f t="shared" si="4"/>
        <v>-2298.4954897174503</v>
      </c>
      <c r="I36" s="77">
        <f t="shared" si="4"/>
        <v>-3985.019880390505</v>
      </c>
      <c r="J36" s="77">
        <f t="shared" si="4"/>
        <v>-2369.1669913153582</v>
      </c>
      <c r="K36" s="77">
        <f t="shared" si="4"/>
        <v>-1669.7511186567033</v>
      </c>
      <c r="L36" s="77">
        <f t="shared" si="4"/>
        <v>-5549.1812642322384</v>
      </c>
      <c r="M36" s="77">
        <f t="shared" si="4"/>
        <v>-1520.0723547463206</v>
      </c>
      <c r="N36" s="77">
        <f t="shared" si="4"/>
        <v>-4255.4848114793122</v>
      </c>
      <c r="O36" s="77">
        <f>SUM(O30:O35)</f>
        <v>-5181.1175590855755</v>
      </c>
      <c r="P36" s="77">
        <f t="shared" si="0"/>
        <v>-35849.226836067864</v>
      </c>
      <c r="Q36" s="38">
        <v>7</v>
      </c>
      <c r="R36" s="12" t="s">
        <v>91</v>
      </c>
      <c r="S36" s="76"/>
      <c r="T36" s="77">
        <f t="shared" ref="T36:AE36" si="5">SUM(T30:T35)</f>
        <v>-87.58090041413449</v>
      </c>
      <c r="U36" s="77">
        <f t="shared" si="5"/>
        <v>-6063.5151347395695</v>
      </c>
      <c r="V36" s="77">
        <f t="shared" si="5"/>
        <v>-5862.6795730732283</v>
      </c>
      <c r="W36" s="77">
        <f t="shared" si="5"/>
        <v>-4516.5646667864921</v>
      </c>
      <c r="X36" s="77">
        <f t="shared" si="5"/>
        <v>-5578.6766889700993</v>
      </c>
      <c r="Y36" s="77">
        <f t="shared" si="5"/>
        <v>-4504.2223907106127</v>
      </c>
      <c r="Z36" s="77">
        <f t="shared" si="5"/>
        <v>-4468.1780423969185</v>
      </c>
      <c r="AA36" s="77">
        <f t="shared" si="5"/>
        <v>-2759.7986713457271</v>
      </c>
      <c r="AB36" s="77">
        <f t="shared" si="5"/>
        <v>-2754.8147140667329</v>
      </c>
      <c r="AC36" s="77">
        <f>SUM(AC30:AC35)</f>
        <v>-4593.9383844052882</v>
      </c>
      <c r="AD36" s="77">
        <f>SUM(AD30:AD35)</f>
        <v>-2737.4824950166421</v>
      </c>
      <c r="AE36" s="77">
        <f t="shared" si="5"/>
        <v>-3752.2638683970995</v>
      </c>
      <c r="AF36" s="77">
        <f t="shared" si="1"/>
        <v>-47679.715530322552</v>
      </c>
      <c r="AG36" s="38">
        <v>6</v>
      </c>
      <c r="AH36" s="12" t="s">
        <v>91</v>
      </c>
      <c r="AI36" s="76"/>
      <c r="AJ36" s="77">
        <f t="shared" ref="AJ36:AU36" si="6">SUM(AJ30:AJ35)</f>
        <v>-79.425700478528128</v>
      </c>
      <c r="AK36" s="77">
        <f t="shared" si="6"/>
        <v>-3101.4000446473824</v>
      </c>
      <c r="AL36" s="77">
        <f t="shared" si="6"/>
        <v>-5300.2133461703806</v>
      </c>
      <c r="AM36" s="77">
        <f t="shared" si="6"/>
        <v>-3090.420156958432</v>
      </c>
      <c r="AN36" s="77">
        <f t="shared" si="6"/>
        <v>-7033.2713802125272</v>
      </c>
      <c r="AO36" s="77">
        <f t="shared" si="6"/>
        <v>-3101.1678638834405</v>
      </c>
      <c r="AP36" s="77">
        <f t="shared" si="6"/>
        <v>-3095.9602668674625</v>
      </c>
      <c r="AQ36" s="77">
        <f t="shared" si="6"/>
        <v>-3087.4029974558221</v>
      </c>
      <c r="AR36" s="77">
        <f>SUM(AR30:AR35)</f>
        <v>-6969.3568933570823</v>
      </c>
      <c r="AS36" s="77">
        <f t="shared" si="6"/>
        <v>-3062.9375181300743</v>
      </c>
      <c r="AT36" s="77">
        <f t="shared" si="6"/>
        <v>-3046.4908181300743</v>
      </c>
      <c r="AU36" s="77">
        <f t="shared" si="6"/>
        <v>-6075.381675172127</v>
      </c>
      <c r="AV36" s="77">
        <f t="shared" si="2"/>
        <v>-47043.428661463324</v>
      </c>
      <c r="AW36" s="38">
        <v>6</v>
      </c>
      <c r="AX36" s="12" t="s">
        <v>91</v>
      </c>
      <c r="AY36" s="76"/>
      <c r="AZ36" s="77">
        <f t="shared" ref="AZ36:BK36" si="7">SUM(AZ30:AZ35)</f>
        <v>-52.536778395767087</v>
      </c>
      <c r="BA36" s="77">
        <f t="shared" si="7"/>
        <v>-3028.2659121939773</v>
      </c>
      <c r="BB36" s="77">
        <f t="shared" si="7"/>
        <v>-3755.171585008291</v>
      </c>
      <c r="BC36" s="77">
        <f t="shared" si="7"/>
        <v>-3028.2659121939773</v>
      </c>
      <c r="BD36" s="77">
        <f t="shared" si="7"/>
        <v>-3028.2659121939773</v>
      </c>
      <c r="BE36" s="77">
        <f t="shared" si="7"/>
        <v>-3755.171585008291</v>
      </c>
      <c r="BF36" s="77">
        <f t="shared" si="7"/>
        <v>-3028.2659121939773</v>
      </c>
      <c r="BG36" s="77">
        <f t="shared" si="7"/>
        <v>-3028.2659121939773</v>
      </c>
      <c r="BH36" s="77">
        <f t="shared" si="7"/>
        <v>-3755.171585008291</v>
      </c>
      <c r="BI36" s="77">
        <f t="shared" si="7"/>
        <v>-3028.2659121939773</v>
      </c>
      <c r="BJ36" s="77">
        <f t="shared" si="7"/>
        <v>-3028.2659121939773</v>
      </c>
      <c r="BK36" s="77">
        <f t="shared" si="7"/>
        <v>-6730.9007188065007</v>
      </c>
      <c r="BL36" s="77">
        <f t="shared" si="3"/>
        <v>-39246.813637584979</v>
      </c>
    </row>
    <row r="37" spans="1:64" x14ac:dyDescent="0.2">
      <c r="A37" s="38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38"/>
      <c r="S37" s="76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38"/>
      <c r="AI37" s="76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38"/>
      <c r="AY37" s="76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</row>
    <row r="38" spans="1:64" x14ac:dyDescent="0.2">
      <c r="A38" s="38"/>
      <c r="C38" s="76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38">
        <v>8</v>
      </c>
      <c r="R38" s="12" t="s">
        <v>92</v>
      </c>
      <c r="S38" s="76"/>
      <c r="T38" s="77">
        <f t="shared" ref="T38:AE38" si="8">T40-T39</f>
        <v>194.64090456225406</v>
      </c>
      <c r="U38" s="77">
        <f t="shared" si="8"/>
        <v>327.89882821010963</v>
      </c>
      <c r="V38" s="77">
        <f t="shared" si="8"/>
        <v>2011.2163346126711</v>
      </c>
      <c r="W38" s="77">
        <f t="shared" si="8"/>
        <v>137.80765314212047</v>
      </c>
      <c r="X38" s="77">
        <f t="shared" si="8"/>
        <v>2468.1595952359821</v>
      </c>
      <c r="Y38" s="77">
        <f t="shared" si="8"/>
        <v>372.77626637684438</v>
      </c>
      <c r="Z38" s="77">
        <f t="shared" si="8"/>
        <v>1988.5041654661545</v>
      </c>
      <c r="AA38" s="77">
        <f t="shared" si="8"/>
        <v>2215.9350858544612</v>
      </c>
      <c r="AB38" s="77">
        <f t="shared" si="8"/>
        <v>674.76361033492958</v>
      </c>
      <c r="AC38" s="77">
        <f>AC40-AC39</f>
        <v>2404.1663859536411</v>
      </c>
      <c r="AD38" s="77">
        <f t="shared" si="8"/>
        <v>1646.2249322821831</v>
      </c>
      <c r="AE38" s="77">
        <f t="shared" si="8"/>
        <v>4770.475571406183</v>
      </c>
      <c r="AF38" s="77">
        <f>SUM(T38:AE38)</f>
        <v>19212.569333437532</v>
      </c>
      <c r="AG38" s="38">
        <v>7</v>
      </c>
      <c r="AH38" s="12" t="str">
        <f>R38</f>
        <v>Energy Efficiency Expenditures - PA Models</v>
      </c>
      <c r="AI38" s="76"/>
      <c r="AJ38" s="77">
        <f t="shared" ref="AJ38:AU38" si="9">AJ40-AJ39</f>
        <v>203.30058681201763</v>
      </c>
      <c r="AK38" s="77">
        <f t="shared" si="9"/>
        <v>716.88559929053429</v>
      </c>
      <c r="AL38" s="77">
        <f t="shared" si="9"/>
        <v>3819.5711801638358</v>
      </c>
      <c r="AM38" s="77">
        <f t="shared" si="9"/>
        <v>3042.3553965102756</v>
      </c>
      <c r="AN38" s="77">
        <f t="shared" si="9"/>
        <v>1340.3998215805836</v>
      </c>
      <c r="AO38" s="77">
        <f t="shared" si="9"/>
        <v>1495.8157021521135</v>
      </c>
      <c r="AP38" s="77">
        <f t="shared" si="9"/>
        <v>1257.5124111373461</v>
      </c>
      <c r="AQ38" s="77">
        <f t="shared" si="9"/>
        <v>1337.7793371081254</v>
      </c>
      <c r="AR38" s="77">
        <f t="shared" si="9"/>
        <v>1050.2746514146102</v>
      </c>
      <c r="AS38" s="77">
        <f t="shared" si="9"/>
        <v>3670.0449043502344</v>
      </c>
      <c r="AT38" s="77">
        <f t="shared" si="9"/>
        <v>3670.0449043502344</v>
      </c>
      <c r="AU38" s="77">
        <f t="shared" si="9"/>
        <v>3670.0449043502344</v>
      </c>
      <c r="AV38" s="77">
        <f>SUM(AJ38:AU38)</f>
        <v>25274.029399220144</v>
      </c>
      <c r="AW38" s="38">
        <v>7</v>
      </c>
      <c r="AX38" s="12" t="str">
        <f>R38</f>
        <v>Energy Efficiency Expenditures - PA Models</v>
      </c>
      <c r="AY38" s="76"/>
      <c r="AZ38" s="77">
        <f t="shared" ref="AZ38:BK38" si="10">AZ40-AZ39</f>
        <v>5229.8356961480204</v>
      </c>
      <c r="BA38" s="77">
        <f t="shared" si="10"/>
        <v>5229.8356961480204</v>
      </c>
      <c r="BB38" s="77">
        <f t="shared" si="10"/>
        <v>5229.8356961480204</v>
      </c>
      <c r="BC38" s="77">
        <f t="shared" si="10"/>
        <v>5229.8356961480204</v>
      </c>
      <c r="BD38" s="77">
        <f t="shared" si="10"/>
        <v>5229.8356961480204</v>
      </c>
      <c r="BE38" s="77">
        <f t="shared" si="10"/>
        <v>5229.8356961480204</v>
      </c>
      <c r="BF38" s="77">
        <f t="shared" si="10"/>
        <v>5229.8356961480204</v>
      </c>
      <c r="BG38" s="77">
        <f t="shared" si="10"/>
        <v>5229.8356961480204</v>
      </c>
      <c r="BH38" s="77">
        <f t="shared" si="10"/>
        <v>5229.8356961480204</v>
      </c>
      <c r="BI38" s="77">
        <f t="shared" si="10"/>
        <v>5229.8356961480204</v>
      </c>
      <c r="BJ38" s="77">
        <f t="shared" si="10"/>
        <v>5229.8356961480204</v>
      </c>
      <c r="BK38" s="77">
        <f t="shared" si="10"/>
        <v>5229.8356961480204</v>
      </c>
      <c r="BL38" s="77">
        <f>SUM(AZ38:BK38)</f>
        <v>62758.02835377623</v>
      </c>
    </row>
    <row r="39" spans="1:64" ht="15" x14ac:dyDescent="0.35">
      <c r="A39" s="38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38">
        <v>9</v>
      </c>
      <c r="R39" s="12" t="s">
        <v>93</v>
      </c>
      <c r="S39" s="76"/>
      <c r="T39" s="78">
        <v>0</v>
      </c>
      <c r="U39" s="78">
        <v>0</v>
      </c>
      <c r="V39" s="78">
        <v>15.12196</v>
      </c>
      <c r="W39" s="78">
        <v>11.4025</v>
      </c>
      <c r="X39" s="78">
        <v>870.96321</v>
      </c>
      <c r="Y39" s="78">
        <v>495.96</v>
      </c>
      <c r="Z39" s="78">
        <v>474.57646999999997</v>
      </c>
      <c r="AA39" s="78">
        <v>1980.16157</v>
      </c>
      <c r="AB39" s="78">
        <v>1245.33656</v>
      </c>
      <c r="AC39" s="78">
        <v>1067.06212</v>
      </c>
      <c r="AD39" s="78">
        <v>833.74834999999996</v>
      </c>
      <c r="AE39" s="78">
        <v>3032.5208700000003</v>
      </c>
      <c r="AF39" s="78">
        <f>SUM(T39:AE39)</f>
        <v>10026.85361</v>
      </c>
      <c r="AG39" s="38">
        <v>8</v>
      </c>
      <c r="AH39" s="12" t="str">
        <f>R39</f>
        <v>Energy Efficiency Expenditures - Electrification Pool</v>
      </c>
      <c r="AI39" s="76"/>
      <c r="AJ39" s="78">
        <v>1047.2601999999999</v>
      </c>
      <c r="AK39" s="78">
        <v>759.59676999999999</v>
      </c>
      <c r="AL39" s="78">
        <v>808.31205</v>
      </c>
      <c r="AM39" s="78">
        <v>544.00218999999993</v>
      </c>
      <c r="AN39" s="78">
        <v>516.745</v>
      </c>
      <c r="AO39" s="78">
        <v>367.05106999999998</v>
      </c>
      <c r="AP39" s="78">
        <v>672.99822000000006</v>
      </c>
      <c r="AQ39" s="78">
        <v>457.38211999999993</v>
      </c>
      <c r="AR39" s="78">
        <v>503.64638000000002</v>
      </c>
      <c r="AS39" s="78">
        <v>1464.4196666666671</v>
      </c>
      <c r="AT39" s="78">
        <v>1464.4196666666671</v>
      </c>
      <c r="AU39" s="78">
        <v>1464.4196666666671</v>
      </c>
      <c r="AV39" s="78">
        <f>SUM(AJ39:AU39)</f>
        <v>10070.253000000001</v>
      </c>
      <c r="AW39" s="38">
        <v>8</v>
      </c>
      <c r="AX39" s="12" t="str">
        <f>R39</f>
        <v>Energy Efficiency Expenditures - Electrification Pool</v>
      </c>
      <c r="AY39" s="76"/>
      <c r="AZ39" s="78">
        <v>832.7999517093989</v>
      </c>
      <c r="BA39" s="78">
        <v>832.7999517093989</v>
      </c>
      <c r="BB39" s="78">
        <v>832.7999517093989</v>
      </c>
      <c r="BC39" s="78">
        <v>832.7999517093989</v>
      </c>
      <c r="BD39" s="78">
        <v>832.7999517093989</v>
      </c>
      <c r="BE39" s="78">
        <v>832.7999517093989</v>
      </c>
      <c r="BF39" s="78">
        <v>832.7999517093989</v>
      </c>
      <c r="BG39" s="78">
        <v>832.7999517093989</v>
      </c>
      <c r="BH39" s="78">
        <v>832.7999517093989</v>
      </c>
      <c r="BI39" s="78">
        <v>832.7999517093989</v>
      </c>
      <c r="BJ39" s="78">
        <v>832.7999517093989</v>
      </c>
      <c r="BK39" s="78">
        <v>832.7999517093989</v>
      </c>
      <c r="BL39" s="78">
        <f>SUM(AZ39:BK39)</f>
        <v>9993.5994205127863</v>
      </c>
    </row>
    <row r="40" spans="1:64" x14ac:dyDescent="0.2">
      <c r="A40" s="38">
        <v>8</v>
      </c>
      <c r="B40" s="12" t="s">
        <v>94</v>
      </c>
      <c r="C40" s="76"/>
      <c r="D40" s="77">
        <v>66.208341559884403</v>
      </c>
      <c r="E40" s="77">
        <v>1005.021068316309</v>
      </c>
      <c r="F40" s="77">
        <v>3420.5375607272476</v>
      </c>
      <c r="G40" s="77">
        <v>3628.3963665955689</v>
      </c>
      <c r="H40" s="77">
        <v>3757.722484986366</v>
      </c>
      <c r="I40" s="77">
        <v>3793.4512033103069</v>
      </c>
      <c r="J40" s="77">
        <v>1851.2174688232033</v>
      </c>
      <c r="K40" s="77">
        <v>3196.8318932129118</v>
      </c>
      <c r="L40" s="77">
        <v>1419.973591902602</v>
      </c>
      <c r="M40" s="77">
        <v>3604.0295966612985</v>
      </c>
      <c r="N40" s="77">
        <v>4258.6134293148634</v>
      </c>
      <c r="O40" s="77">
        <v>12663.07345408378</v>
      </c>
      <c r="P40" s="77">
        <f>SUM(D40:O40)</f>
        <v>42665.076459494347</v>
      </c>
      <c r="Q40" s="38">
        <v>10</v>
      </c>
      <c r="R40" s="12" t="s">
        <v>94</v>
      </c>
      <c r="S40" s="76"/>
      <c r="T40" s="77">
        <v>194.64090456225406</v>
      </c>
      <c r="U40" s="77">
        <v>327.89882821010963</v>
      </c>
      <c r="V40" s="77">
        <v>2026.338294612671</v>
      </c>
      <c r="W40" s="77">
        <v>149.21015314212048</v>
      </c>
      <c r="X40" s="77">
        <v>3339.122805235982</v>
      </c>
      <c r="Y40" s="77">
        <v>868.73626637684436</v>
      </c>
      <c r="Z40" s="77">
        <v>2463.0806354661545</v>
      </c>
      <c r="AA40" s="77">
        <v>4196.0966558544615</v>
      </c>
      <c r="AB40" s="77">
        <v>1920.1001703349295</v>
      </c>
      <c r="AC40" s="77">
        <v>3471.2285059536412</v>
      </c>
      <c r="AD40" s="77">
        <v>2479.9732822821829</v>
      </c>
      <c r="AE40" s="77">
        <v>7802.9964414061833</v>
      </c>
      <c r="AF40" s="77">
        <f>SUM(T40:AE40)</f>
        <v>29239.422943437534</v>
      </c>
      <c r="AG40" s="38">
        <v>9</v>
      </c>
      <c r="AH40" s="12" t="s">
        <v>94</v>
      </c>
      <c r="AI40" s="76"/>
      <c r="AJ40" s="77">
        <v>1250.5607868120176</v>
      </c>
      <c r="AK40" s="77">
        <v>1476.4823692905343</v>
      </c>
      <c r="AL40" s="77">
        <v>4627.8832301638358</v>
      </c>
      <c r="AM40" s="77">
        <v>3586.3575865102753</v>
      </c>
      <c r="AN40" s="77">
        <v>1857.1448215805835</v>
      </c>
      <c r="AO40" s="77">
        <v>1862.8667721521135</v>
      </c>
      <c r="AP40" s="77">
        <v>1930.5106311373461</v>
      </c>
      <c r="AQ40" s="77">
        <v>1795.1614571081254</v>
      </c>
      <c r="AR40" s="77">
        <v>1553.9210314146103</v>
      </c>
      <c r="AS40" s="77">
        <v>5134.4645710169016</v>
      </c>
      <c r="AT40" s="77">
        <v>5134.4645710169016</v>
      </c>
      <c r="AU40" s="77">
        <v>5134.4645710169016</v>
      </c>
      <c r="AV40" s="77">
        <f>SUM(AJ40:AU40)</f>
        <v>35344.282399220152</v>
      </c>
      <c r="AW40" s="38">
        <v>9</v>
      </c>
      <c r="AX40" s="12" t="s">
        <v>94</v>
      </c>
      <c r="AY40" s="76"/>
      <c r="AZ40" s="77">
        <v>6062.6356478574189</v>
      </c>
      <c r="BA40" s="77">
        <v>6062.6356478574189</v>
      </c>
      <c r="BB40" s="77">
        <v>6062.6356478574189</v>
      </c>
      <c r="BC40" s="77">
        <v>6062.6356478574189</v>
      </c>
      <c r="BD40" s="77">
        <v>6062.6356478574189</v>
      </c>
      <c r="BE40" s="77">
        <v>6062.6356478574189</v>
      </c>
      <c r="BF40" s="77">
        <v>6062.6356478574189</v>
      </c>
      <c r="BG40" s="77">
        <v>6062.6356478574189</v>
      </c>
      <c r="BH40" s="77">
        <v>6062.6356478574189</v>
      </c>
      <c r="BI40" s="77">
        <v>6062.6356478574189</v>
      </c>
      <c r="BJ40" s="77">
        <v>6062.6356478574189</v>
      </c>
      <c r="BK40" s="77">
        <v>6062.6356478574189</v>
      </c>
      <c r="BL40" s="77">
        <f>SUM(AZ40:BK40)</f>
        <v>72751.627774289009</v>
      </c>
    </row>
    <row r="41" spans="1:64" x14ac:dyDescent="0.2">
      <c r="A41" s="38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38"/>
      <c r="S41" s="76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38"/>
      <c r="AI41" s="76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38"/>
      <c r="AY41" s="76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</row>
    <row r="42" spans="1:64" ht="15" x14ac:dyDescent="0.35">
      <c r="A42" s="38">
        <v>9</v>
      </c>
      <c r="B42" s="12" t="s">
        <v>95</v>
      </c>
      <c r="C42" s="77"/>
      <c r="D42" s="77">
        <f t="shared" ref="D42:O42" si="11">D36+D40</f>
        <v>-877.40927242650946</v>
      </c>
      <c r="E42" s="77">
        <f t="shared" si="11"/>
        <v>-1297.8814463985395</v>
      </c>
      <c r="F42" s="77">
        <f t="shared" si="11"/>
        <v>1112.078086650431</v>
      </c>
      <c r="G42" s="77">
        <f t="shared" si="11"/>
        <v>162.43860292923046</v>
      </c>
      <c r="H42" s="77">
        <f t="shared" si="11"/>
        <v>1459.2269952689157</v>
      </c>
      <c r="I42" s="77">
        <f t="shared" si="11"/>
        <v>-191.56867708019809</v>
      </c>
      <c r="J42" s="77">
        <f t="shared" si="11"/>
        <v>-517.94952249215498</v>
      </c>
      <c r="K42" s="77">
        <f t="shared" si="11"/>
        <v>1527.0807745562086</v>
      </c>
      <c r="L42" s="77">
        <f t="shared" si="11"/>
        <v>-4129.2076723296359</v>
      </c>
      <c r="M42" s="77">
        <f t="shared" si="11"/>
        <v>2083.9572419149781</v>
      </c>
      <c r="N42" s="77">
        <f t="shared" si="11"/>
        <v>3.1286178355512675</v>
      </c>
      <c r="O42" s="77">
        <f t="shared" si="11"/>
        <v>7481.9558949982047</v>
      </c>
      <c r="P42" s="78"/>
      <c r="Q42" s="38">
        <v>11</v>
      </c>
      <c r="R42" s="12" t="s">
        <v>95</v>
      </c>
      <c r="S42" s="77"/>
      <c r="T42" s="77">
        <f t="shared" ref="T42:AD42" si="12">T36+T40</f>
        <v>107.06000414811957</v>
      </c>
      <c r="U42" s="77">
        <f t="shared" si="12"/>
        <v>-5735.6163065294595</v>
      </c>
      <c r="V42" s="77">
        <f t="shared" si="12"/>
        <v>-3836.3412784605571</v>
      </c>
      <c r="W42" s="77">
        <f t="shared" si="12"/>
        <v>-4367.3545136443718</v>
      </c>
      <c r="X42" s="77">
        <f t="shared" si="12"/>
        <v>-2239.5538837341173</v>
      </c>
      <c r="Y42" s="77">
        <f t="shared" si="12"/>
        <v>-3635.4861243337682</v>
      </c>
      <c r="Z42" s="77">
        <f t="shared" si="12"/>
        <v>-2005.097406930764</v>
      </c>
      <c r="AA42" s="77">
        <f t="shared" si="12"/>
        <v>1436.2979845087343</v>
      </c>
      <c r="AB42" s="77">
        <f t="shared" si="12"/>
        <v>-834.71454373180336</v>
      </c>
      <c r="AC42" s="77">
        <f>AC36+AC40</f>
        <v>-1122.709878451647</v>
      </c>
      <c r="AD42" s="77">
        <f t="shared" si="12"/>
        <v>-257.5092127344592</v>
      </c>
      <c r="AE42" s="77">
        <f>AE36+AE40</f>
        <v>4050.7325730090838</v>
      </c>
      <c r="AF42" s="78"/>
      <c r="AG42" s="38">
        <v>10</v>
      </c>
      <c r="AH42" s="12" t="s">
        <v>95</v>
      </c>
      <c r="AI42" s="77"/>
      <c r="AJ42" s="77">
        <f t="shared" ref="AJ42:AU42" si="13">AJ36+AJ40</f>
        <v>1171.1350863334894</v>
      </c>
      <c r="AK42" s="77">
        <f t="shared" si="13"/>
        <v>-1624.9176753568481</v>
      </c>
      <c r="AL42" s="77">
        <f t="shared" si="13"/>
        <v>-672.33011600654481</v>
      </c>
      <c r="AM42" s="77">
        <f t="shared" si="13"/>
        <v>495.93742955184325</v>
      </c>
      <c r="AN42" s="77">
        <f t="shared" si="13"/>
        <v>-5176.1265586319441</v>
      </c>
      <c r="AO42" s="77">
        <f t="shared" si="13"/>
        <v>-1238.301091731327</v>
      </c>
      <c r="AP42" s="77">
        <f t="shared" si="13"/>
        <v>-1165.4496357301164</v>
      </c>
      <c r="AQ42" s="77">
        <f t="shared" si="13"/>
        <v>-1292.2415403476966</v>
      </c>
      <c r="AR42" s="77">
        <f t="shared" si="13"/>
        <v>-5415.435861942472</v>
      </c>
      <c r="AS42" s="77">
        <f t="shared" si="13"/>
        <v>2071.5270528868273</v>
      </c>
      <c r="AT42" s="77">
        <f t="shared" si="13"/>
        <v>2087.9737528868272</v>
      </c>
      <c r="AU42" s="77">
        <f t="shared" si="13"/>
        <v>-940.91710415522539</v>
      </c>
      <c r="AV42" s="78"/>
      <c r="AW42" s="38">
        <v>10</v>
      </c>
      <c r="AX42" s="12" t="s">
        <v>95</v>
      </c>
      <c r="AY42" s="77"/>
      <c r="AZ42" s="77">
        <f t="shared" ref="AZ42:BK42" si="14">AZ36+AZ40</f>
        <v>6010.0988694616517</v>
      </c>
      <c r="BA42" s="77">
        <f t="shared" si="14"/>
        <v>3034.3697356634416</v>
      </c>
      <c r="BB42" s="77">
        <f t="shared" si="14"/>
        <v>2307.4640628491279</v>
      </c>
      <c r="BC42" s="77">
        <f t="shared" si="14"/>
        <v>3034.3697356634416</v>
      </c>
      <c r="BD42" s="77">
        <f t="shared" si="14"/>
        <v>3034.3697356634416</v>
      </c>
      <c r="BE42" s="77">
        <f t="shared" si="14"/>
        <v>2307.4640628491279</v>
      </c>
      <c r="BF42" s="77">
        <f t="shared" si="14"/>
        <v>3034.3697356634416</v>
      </c>
      <c r="BG42" s="77">
        <f t="shared" si="14"/>
        <v>3034.3697356634416</v>
      </c>
      <c r="BH42" s="77">
        <f t="shared" si="14"/>
        <v>2307.4640628491279</v>
      </c>
      <c r="BI42" s="77">
        <f t="shared" si="14"/>
        <v>3034.3697356634416</v>
      </c>
      <c r="BJ42" s="77">
        <f t="shared" si="14"/>
        <v>3034.3697356634416</v>
      </c>
      <c r="BK42" s="77">
        <f t="shared" si="14"/>
        <v>-668.26507094908175</v>
      </c>
      <c r="BL42" s="78"/>
    </row>
    <row r="43" spans="1:64" ht="15" x14ac:dyDescent="0.35">
      <c r="A43" s="38">
        <v>10</v>
      </c>
      <c r="B43" s="12" t="s">
        <v>96</v>
      </c>
      <c r="C43" s="76"/>
      <c r="D43" s="78">
        <v>-36.39397743483525</v>
      </c>
      <c r="E43" s="78">
        <v>-26.571254484996995</v>
      </c>
      <c r="F43" s="78">
        <v>-24.909087373308989</v>
      </c>
      <c r="G43" s="78">
        <v>-21.036690534915731</v>
      </c>
      <c r="H43" s="78">
        <v>-21.334829947435718</v>
      </c>
      <c r="I43" s="78">
        <v>-20.292531906609021</v>
      </c>
      <c r="J43" s="78">
        <v>-14.571391167184396</v>
      </c>
      <c r="K43" s="78">
        <v>-11.565414651695566</v>
      </c>
      <c r="L43" s="78">
        <v>-13.31946238549984</v>
      </c>
      <c r="M43" s="78">
        <v>-13.26833677886262</v>
      </c>
      <c r="N43" s="78">
        <v>-11.984273912681175</v>
      </c>
      <c r="O43" s="78">
        <v>-8.2148723959130585</v>
      </c>
      <c r="P43" s="78">
        <f>SUM(D43:O43)</f>
        <v>-223.46212297393836</v>
      </c>
      <c r="Q43" s="38">
        <v>12</v>
      </c>
      <c r="R43" s="12" t="s">
        <v>96</v>
      </c>
      <c r="S43" s="76"/>
      <c r="T43" s="78">
        <v>-55.676898519808546</v>
      </c>
      <c r="U43" s="78">
        <v>-29.893325346429581</v>
      </c>
      <c r="V43" s="78">
        <v>-37.810437594643147</v>
      </c>
      <c r="W43" s="78">
        <v>-41.451060600336604</v>
      </c>
      <c r="X43" s="78">
        <v>-46.637899065563218</v>
      </c>
      <c r="Y43" s="78">
        <v>-50.587590687242503</v>
      </c>
      <c r="Z43" s="78">
        <v>-58.923825052611164</v>
      </c>
      <c r="AA43" s="78">
        <v>-59.278742845041414</v>
      </c>
      <c r="AB43" s="78">
        <v>-55.852387526595351</v>
      </c>
      <c r="AC43" s="78">
        <v>-64.053663360165132</v>
      </c>
      <c r="AD43" s="78">
        <v>-64.098977852336134</v>
      </c>
      <c r="AE43" s="78">
        <v>-64.428842872429655</v>
      </c>
      <c r="AF43" s="78">
        <f>SUM(T43:AE43)</f>
        <v>-628.6936513232024</v>
      </c>
      <c r="AG43" s="38">
        <v>11</v>
      </c>
      <c r="AH43" s="12" t="s">
        <v>96</v>
      </c>
      <c r="AI43" s="76"/>
      <c r="AJ43" s="78">
        <v>-62.04084830609662</v>
      </c>
      <c r="AK43" s="78">
        <v>-55.248096112590588</v>
      </c>
      <c r="AL43" s="78">
        <v>-58.652335635682043</v>
      </c>
      <c r="AM43" s="78">
        <v>-57.610706579019741</v>
      </c>
      <c r="AN43" s="78">
        <v>-61.20625911562724</v>
      </c>
      <c r="AO43" s="78">
        <v>-73.606170661155232</v>
      </c>
      <c r="AP43" s="78">
        <v>-80.194467023035116</v>
      </c>
      <c r="AQ43" s="78">
        <v>-84.434570886812978</v>
      </c>
      <c r="AR43" s="78">
        <v>-76.352358457159355</v>
      </c>
      <c r="AS43" s="78">
        <f>IF(AS27="Planned",(AR44+AS42/2)*AS45/12,"Update to Actuals")</f>
        <v>-90.143725939937852</v>
      </c>
      <c r="AT43" s="78">
        <f>IF(AT27="Planned",(AS44+AT42/2)*AT45/12,"Update to Actuals")</f>
        <v>-85.020488746799614</v>
      </c>
      <c r="AU43" s="78">
        <f>IF(AU27="Planned",(AT44+AU42/2)*AU45/12,"Update to Actuals")</f>
        <v>-83.762581070080685</v>
      </c>
      <c r="AV43" s="78">
        <f>SUM(AJ43:AU43)</f>
        <v>-868.27260853399707</v>
      </c>
      <c r="AW43" s="38">
        <v>11</v>
      </c>
      <c r="AX43" s="12" t="s">
        <v>96</v>
      </c>
      <c r="AY43" s="76"/>
      <c r="AZ43" s="78">
        <f t="shared" ref="AZ43:BK43" si="15">IF(AZ27="Planned",(AY44+AZ42/2)*AZ45/12,"Update to Actuals")</f>
        <v>-77.451698193504114</v>
      </c>
      <c r="BA43" s="78">
        <f t="shared" si="15"/>
        <v>-66.006382987253815</v>
      </c>
      <c r="BB43" s="78">
        <f t="shared" si="15"/>
        <v>-59.298738407861073</v>
      </c>
      <c r="BC43" s="78">
        <f t="shared" si="15"/>
        <v>-52.573821643676382</v>
      </c>
      <c r="BD43" s="78">
        <f t="shared" si="15"/>
        <v>-44.895697165075489</v>
      </c>
      <c r="BE43" s="78">
        <f t="shared" si="15"/>
        <v>-38.133692569690623</v>
      </c>
      <c r="BF43" s="78">
        <f t="shared" si="15"/>
        <v>-31.35427581247264</v>
      </c>
      <c r="BG43" s="78">
        <f t="shared" si="15"/>
        <v>-23.6215110033564</v>
      </c>
      <c r="BH43" s="78">
        <f t="shared" si="15"/>
        <v>-16.804725378605106</v>
      </c>
      <c r="BI43" s="78">
        <f t="shared" si="15"/>
        <v>-9.9703865308700781</v>
      </c>
      <c r="BJ43" s="78">
        <f t="shared" si="15"/>
        <v>-2.1825582068537077</v>
      </c>
      <c r="BK43" s="78">
        <f t="shared" si="15"/>
        <v>0.85818146158338227</v>
      </c>
      <c r="BL43" s="78">
        <f>SUM(AZ43:BK43)</f>
        <v>-421.43530643763592</v>
      </c>
    </row>
    <row r="44" spans="1:64" ht="15" x14ac:dyDescent="0.35">
      <c r="A44" s="38">
        <v>11</v>
      </c>
      <c r="B44" s="12" t="s">
        <v>97</v>
      </c>
      <c r="C44" s="79">
        <v>-8039.3612217335549</v>
      </c>
      <c r="D44" s="79">
        <f t="shared" ref="D44:L44" si="16">C44+D42+D43</f>
        <v>-8953.1644715948987</v>
      </c>
      <c r="E44" s="79">
        <f t="shared" si="16"/>
        <v>-10277.617172478436</v>
      </c>
      <c r="F44" s="79">
        <f t="shared" si="16"/>
        <v>-9190.4481732013137</v>
      </c>
      <c r="G44" s="79">
        <f t="shared" si="16"/>
        <v>-9049.0462608069993</v>
      </c>
      <c r="H44" s="79">
        <f t="shared" si="16"/>
        <v>-7611.1540954855191</v>
      </c>
      <c r="I44" s="79">
        <f t="shared" si="16"/>
        <v>-7823.0153044723265</v>
      </c>
      <c r="J44" s="79">
        <f t="shared" si="16"/>
        <v>-8355.5362181316668</v>
      </c>
      <c r="K44" s="79">
        <f t="shared" si="16"/>
        <v>-6840.0208582271534</v>
      </c>
      <c r="L44" s="79">
        <f t="shared" si="16"/>
        <v>-10982.547992942289</v>
      </c>
      <c r="M44" s="79">
        <f>L44+M42+M43</f>
        <v>-8911.8590878061732</v>
      </c>
      <c r="N44" s="79">
        <f>M44+N42+N43</f>
        <v>-8920.7147438833035</v>
      </c>
      <c r="O44" s="79">
        <f>N44+O42+O43</f>
        <v>-1446.9737212810119</v>
      </c>
      <c r="P44" s="79"/>
      <c r="Q44" s="38">
        <v>13</v>
      </c>
      <c r="R44" s="12" t="s">
        <v>97</v>
      </c>
      <c r="S44" s="79">
        <f>O44</f>
        <v>-1446.9737212810119</v>
      </c>
      <c r="T44" s="79">
        <f t="shared" ref="T44:AD44" si="17">S44+T42+T43</f>
        <v>-1395.5906156527008</v>
      </c>
      <c r="U44" s="79">
        <f t="shared" si="17"/>
        <v>-7161.1002475285895</v>
      </c>
      <c r="V44" s="79">
        <f t="shared" si="17"/>
        <v>-11035.251963583789</v>
      </c>
      <c r="W44" s="79">
        <f t="shared" si="17"/>
        <v>-15444.057537828498</v>
      </c>
      <c r="X44" s="79">
        <f t="shared" si="17"/>
        <v>-17730.24932062818</v>
      </c>
      <c r="Y44" s="79">
        <f t="shared" si="17"/>
        <v>-21416.323035649191</v>
      </c>
      <c r="Z44" s="79">
        <f t="shared" si="17"/>
        <v>-23480.344267632565</v>
      </c>
      <c r="AA44" s="79">
        <f t="shared" si="17"/>
        <v>-22103.325025968872</v>
      </c>
      <c r="AB44" s="79">
        <f t="shared" si="17"/>
        <v>-22993.891957227272</v>
      </c>
      <c r="AC44" s="79">
        <f>AB44+AC42+AC43</f>
        <v>-24180.655499039083</v>
      </c>
      <c r="AD44" s="79">
        <f t="shared" si="17"/>
        <v>-24502.263689625877</v>
      </c>
      <c r="AE44" s="79">
        <f>AD44+AE42+AE43</f>
        <v>-20515.959959489221</v>
      </c>
      <c r="AF44" s="79"/>
      <c r="AG44" s="38">
        <v>12</v>
      </c>
      <c r="AH44" s="12" t="s">
        <v>97</v>
      </c>
      <c r="AI44" s="79">
        <f>AE44</f>
        <v>-20515.959959489221</v>
      </c>
      <c r="AJ44" s="79">
        <f t="shared" ref="AJ44:AR44" si="18">AI44+AJ42+AJ43</f>
        <v>-19406.865721461829</v>
      </c>
      <c r="AK44" s="79">
        <f t="shared" si="18"/>
        <v>-21087.031492931266</v>
      </c>
      <c r="AL44" s="79">
        <f>AK44+AL42+AL43</f>
        <v>-21818.013944573493</v>
      </c>
      <c r="AM44" s="79">
        <f>AL44+AM42+AM43</f>
        <v>-21379.68722160067</v>
      </c>
      <c r="AN44" s="79">
        <f t="shared" si="18"/>
        <v>-26617.020039348245</v>
      </c>
      <c r="AO44" s="79">
        <f t="shared" si="18"/>
        <v>-27928.927301740725</v>
      </c>
      <c r="AP44" s="79">
        <f t="shared" si="18"/>
        <v>-29174.57140449388</v>
      </c>
      <c r="AQ44" s="79">
        <f t="shared" si="18"/>
        <v>-30551.247515728388</v>
      </c>
      <c r="AR44" s="79">
        <f t="shared" si="18"/>
        <v>-36043.035736128018</v>
      </c>
      <c r="AS44" s="79">
        <f>AR44+AS42+AS43</f>
        <v>-34061.65240918113</v>
      </c>
      <c r="AT44" s="79">
        <f>AS44+AT42+AT43</f>
        <v>-32058.699145041101</v>
      </c>
      <c r="AU44" s="79">
        <f>AT44+AU42+AU43</f>
        <v>-33083.378830266403</v>
      </c>
      <c r="AV44" s="79"/>
      <c r="AW44" s="38">
        <v>12</v>
      </c>
      <c r="AX44" s="12" t="s">
        <v>97</v>
      </c>
      <c r="AY44" s="79">
        <f>AU44</f>
        <v>-33083.378830266403</v>
      </c>
      <c r="AZ44" s="79">
        <f t="shared" ref="AZ44:BK44" si="19">AY44+AZ42+AZ43</f>
        <v>-27150.731658998255</v>
      </c>
      <c r="BA44" s="79">
        <f t="shared" si="19"/>
        <v>-24182.368306322067</v>
      </c>
      <c r="BB44" s="79">
        <f t="shared" si="19"/>
        <v>-21934.202981880801</v>
      </c>
      <c r="BC44" s="79">
        <f t="shared" si="19"/>
        <v>-18952.407067861037</v>
      </c>
      <c r="BD44" s="79">
        <f t="shared" si="19"/>
        <v>-15962.93302936267</v>
      </c>
      <c r="BE44" s="79">
        <f t="shared" si="19"/>
        <v>-13693.602659083232</v>
      </c>
      <c r="BF44" s="79">
        <f t="shared" si="19"/>
        <v>-10690.587199232263</v>
      </c>
      <c r="BG44" s="79">
        <f t="shared" si="19"/>
        <v>-7679.838974572177</v>
      </c>
      <c r="BH44" s="79">
        <f t="shared" si="19"/>
        <v>-5389.1796371016544</v>
      </c>
      <c r="BI44" s="79">
        <f t="shared" si="19"/>
        <v>-2364.780287969083</v>
      </c>
      <c r="BJ44" s="79">
        <f t="shared" si="19"/>
        <v>667.40688948750483</v>
      </c>
      <c r="BK44" s="79">
        <f t="shared" si="19"/>
        <v>6.4632743601578113E-12</v>
      </c>
      <c r="BL44" s="79"/>
    </row>
    <row r="45" spans="1:64" x14ac:dyDescent="0.2">
      <c r="A45" s="38">
        <v>12</v>
      </c>
      <c r="B45" s="12" t="s">
        <v>98</v>
      </c>
      <c r="C45" s="80"/>
      <c r="D45" s="81">
        <v>4.2900000000000001E-2</v>
      </c>
      <c r="E45" s="81">
        <v>4.3299999999999998E-2</v>
      </c>
      <c r="F45" s="81">
        <v>4.2500000000000003E-2</v>
      </c>
      <c r="G45" s="81">
        <v>4.24E-2</v>
      </c>
      <c r="H45" s="81">
        <v>4.0800000000000003E-2</v>
      </c>
      <c r="I45" s="81">
        <v>4.53E-2</v>
      </c>
      <c r="J45" s="81">
        <v>4.41E-2</v>
      </c>
      <c r="K45" s="81">
        <v>3.9199999999999999E-2</v>
      </c>
      <c r="L45" s="81">
        <v>4.2200000000000001E-2</v>
      </c>
      <c r="M45" s="81">
        <v>4.1399999999999999E-2</v>
      </c>
      <c r="N45" s="81">
        <v>3.78E-2</v>
      </c>
      <c r="O45" s="81">
        <v>4.1300000000000003E-2</v>
      </c>
      <c r="P45" s="82"/>
      <c r="Q45" s="38">
        <v>14</v>
      </c>
      <c r="R45" s="12" t="s">
        <v>98</v>
      </c>
      <c r="S45" s="80"/>
      <c r="T45" s="81">
        <v>3.9600000000000003E-2</v>
      </c>
      <c r="U45" s="81">
        <v>2.9600000000000001E-2</v>
      </c>
      <c r="V45" s="81">
        <v>3.8100000000000002E-2</v>
      </c>
      <c r="W45" s="81">
        <v>3.7199999999999997E-2</v>
      </c>
      <c r="X45" s="81">
        <v>3.5700000000000003E-2</v>
      </c>
      <c r="Y45" s="81">
        <v>3.7100000000000001E-2</v>
      </c>
      <c r="Z45" s="81">
        <v>3.5200000000000002E-2</v>
      </c>
      <c r="AA45" s="81">
        <v>3.4099999999999998E-2</v>
      </c>
      <c r="AB45" s="81">
        <v>3.61E-2</v>
      </c>
      <c r="AC45" s="81">
        <v>3.2800000000000003E-2</v>
      </c>
      <c r="AD45" s="81">
        <v>3.6200000000000003E-2</v>
      </c>
      <c r="AE45" s="81">
        <v>3.2899999999999999E-2</v>
      </c>
      <c r="AF45" s="82"/>
      <c r="AG45" s="38">
        <v>13</v>
      </c>
      <c r="AH45" s="12" t="s">
        <v>98</v>
      </c>
      <c r="AI45" s="80"/>
      <c r="AJ45" s="81">
        <v>3.1600000000000003E-2</v>
      </c>
      <c r="AK45" s="81">
        <v>3.2800000000000003E-2</v>
      </c>
      <c r="AL45" s="81">
        <v>3.2500000000000001E-2</v>
      </c>
      <c r="AM45" s="81">
        <v>3.1300000000000001E-2</v>
      </c>
      <c r="AN45" s="81">
        <v>3.0499999999999999E-2</v>
      </c>
      <c r="AO45" s="81">
        <v>3.09E-2</v>
      </c>
      <c r="AP45" s="81">
        <v>2.9100000000000001E-2</v>
      </c>
      <c r="AQ45" s="81">
        <v>3.2800000000000003E-2</v>
      </c>
      <c r="AR45" s="81">
        <v>3.0800000000000001E-2</v>
      </c>
      <c r="AS45" s="81">
        <v>3.09E-2</v>
      </c>
      <c r="AT45" s="81">
        <v>3.09E-2</v>
      </c>
      <c r="AU45" s="81">
        <v>3.09E-2</v>
      </c>
      <c r="AV45" s="80"/>
      <c r="AW45" s="38">
        <v>13</v>
      </c>
      <c r="AX45" s="12" t="s">
        <v>98</v>
      </c>
      <c r="AY45" s="80"/>
      <c r="AZ45" s="81">
        <v>3.09E-2</v>
      </c>
      <c r="BA45" s="81">
        <v>3.09E-2</v>
      </c>
      <c r="BB45" s="81">
        <v>3.09E-2</v>
      </c>
      <c r="BC45" s="81">
        <v>3.09E-2</v>
      </c>
      <c r="BD45" s="81">
        <v>3.09E-2</v>
      </c>
      <c r="BE45" s="81">
        <v>3.09E-2</v>
      </c>
      <c r="BF45" s="81">
        <v>3.09E-2</v>
      </c>
      <c r="BG45" s="81">
        <v>3.09E-2</v>
      </c>
      <c r="BH45" s="81">
        <v>3.09E-2</v>
      </c>
      <c r="BI45" s="81">
        <v>3.09E-2</v>
      </c>
      <c r="BJ45" s="81">
        <v>3.09E-2</v>
      </c>
      <c r="BK45" s="81">
        <v>3.09E-2</v>
      </c>
      <c r="BL45" s="80"/>
    </row>
    <row r="46" spans="1:64" x14ac:dyDescent="0.2">
      <c r="A46" s="38"/>
      <c r="B46" s="83"/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2"/>
      <c r="Q46" s="38"/>
      <c r="R46" s="83"/>
      <c r="S46" s="82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5"/>
      <c r="AF46" s="82"/>
      <c r="AG46" s="38"/>
      <c r="AH46" s="83"/>
      <c r="AI46" s="82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2"/>
      <c r="AW46" s="38"/>
      <c r="AX46" s="83"/>
      <c r="AY46" s="82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2"/>
    </row>
    <row r="47" spans="1:64" s="83" customFormat="1" x14ac:dyDescent="0.2">
      <c r="A47" s="38"/>
      <c r="B47" s="12" t="s">
        <v>99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38"/>
      <c r="R47" s="12" t="str">
        <f>"*Sector portion of revenues are allocated based on forecasted "&amp;Year1&amp; " kWh sales."</f>
        <v>*Sector portion of revenues are allocated based on forecasted 2025 kWh sales.</v>
      </c>
      <c r="S47" s="82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2"/>
      <c r="AG47" s="38"/>
      <c r="AH47" s="12" t="str">
        <f>"*Sector portion of revenues are allocated based on forecasted "&amp;Year2&amp; " kWh sales."</f>
        <v>*Sector portion of revenues are allocated based on forecasted 2026 kWh sales.</v>
      </c>
      <c r="AI47" s="82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2"/>
      <c r="AW47" s="38"/>
      <c r="AX47" s="12" t="str">
        <f>"*Sector portion of revenues are allocated based on forecasted "&amp;Year3&amp; " kWh sales."</f>
        <v>*Sector portion of revenues are allocated based on forecasted 2027 kWh sales.</v>
      </c>
      <c r="AY47" s="82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2"/>
    </row>
    <row r="48" spans="1:64" s="83" customFormat="1" x14ac:dyDescent="0.2">
      <c r="A48" s="38"/>
      <c r="B48" s="12" t="s">
        <v>100</v>
      </c>
      <c r="C48" s="82"/>
      <c r="D48" s="84"/>
      <c r="E48" s="84"/>
      <c r="F48" s="84"/>
      <c r="G48" s="84"/>
      <c r="H48" s="84" t="s">
        <v>36</v>
      </c>
      <c r="I48" s="84"/>
      <c r="J48" s="84"/>
      <c r="K48" s="84"/>
      <c r="L48" s="84"/>
      <c r="M48" s="84"/>
      <c r="N48" s="84"/>
      <c r="O48" s="84"/>
      <c r="P48" s="82"/>
      <c r="Q48" s="38"/>
      <c r="R48" s="12" t="str">
        <f>B48</f>
        <v>**Sector portion of revenues are allocated based on greenhouse gas reductions.</v>
      </c>
      <c r="S48" s="82"/>
      <c r="T48" s="84"/>
      <c r="U48" s="86"/>
      <c r="V48" s="86"/>
      <c r="W48" s="86"/>
      <c r="X48" s="86"/>
      <c r="Y48" s="86"/>
      <c r="Z48" s="86"/>
      <c r="AA48" s="86"/>
      <c r="AB48" s="86"/>
      <c r="AC48" s="86"/>
      <c r="AD48" s="84"/>
      <c r="AE48" s="84"/>
      <c r="AF48" s="82"/>
      <c r="AG48" s="38"/>
      <c r="AH48" s="12" t="str">
        <f>R48</f>
        <v>**Sector portion of revenues are allocated based on greenhouse gas reductions.</v>
      </c>
      <c r="AI48" s="82"/>
      <c r="AJ48" s="84"/>
      <c r="AK48" s="84"/>
      <c r="AL48" s="84"/>
      <c r="AM48" s="84"/>
      <c r="AN48" s="84"/>
      <c r="AO48" s="84"/>
      <c r="AP48" s="84"/>
      <c r="AQ48" s="84"/>
      <c r="AR48" s="84" t="s">
        <v>36</v>
      </c>
      <c r="AS48" s="84"/>
      <c r="AT48" s="84"/>
      <c r="AU48" s="84"/>
      <c r="AV48" s="82"/>
      <c r="AW48" s="38"/>
      <c r="AX48" s="12" t="str">
        <f>AH48</f>
        <v>**Sector portion of revenues are allocated based on greenhouse gas reductions.</v>
      </c>
      <c r="AY48" s="82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2"/>
    </row>
    <row r="49" spans="1:64" s="83" customFormat="1" x14ac:dyDescent="0.2">
      <c r="A49" s="38"/>
      <c r="B49" s="12" t="s">
        <v>101</v>
      </c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2"/>
      <c r="Q49" s="38"/>
      <c r="R49" s="12" t="str">
        <f>B49</f>
        <v>***Other Revenue represents any RPS and APS credits associated with CVEO participants.</v>
      </c>
      <c r="S49" s="82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2"/>
      <c r="AG49" s="38"/>
      <c r="AH49" s="12" t="s">
        <v>102</v>
      </c>
      <c r="AI49" s="82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2"/>
      <c r="AW49" s="38"/>
      <c r="AX49" s="12" t="str">
        <f>R49</f>
        <v>***Other Revenue represents any RPS and APS credits associated with CVEO participants.</v>
      </c>
      <c r="AY49" s="82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2"/>
    </row>
    <row r="50" spans="1:64" s="83" customFormat="1" x14ac:dyDescent="0.2">
      <c r="A50" s="38"/>
      <c r="B50" s="46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38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69"/>
      <c r="AG50" s="38"/>
      <c r="AI50" s="82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2"/>
      <c r="AW50" s="38"/>
      <c r="AY50" s="82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2"/>
    </row>
  </sheetData>
  <mergeCells count="16">
    <mergeCell ref="A25:P25"/>
    <mergeCell ref="Q25:AF25"/>
    <mergeCell ref="AG25:AV25"/>
    <mergeCell ref="AW25:BL25"/>
    <mergeCell ref="AG23:AV23"/>
    <mergeCell ref="AW23:BL23"/>
    <mergeCell ref="A24:P24"/>
    <mergeCell ref="Q24:AF24"/>
    <mergeCell ref="AG24:AV24"/>
    <mergeCell ref="AW24:BL24"/>
    <mergeCell ref="C1:J1"/>
    <mergeCell ref="C2:J2"/>
    <mergeCell ref="C3:J3"/>
    <mergeCell ref="R4:X4"/>
    <mergeCell ref="A23:P23"/>
    <mergeCell ref="Q23:AF23"/>
  </mergeCells>
  <pageMargins left="0.7" right="0.7" top="0.75" bottom="0.75" header="0.3" footer="0.3"/>
  <pageSetup scale="44" fitToWidth="5" orientation="landscape" r:id="rId1"/>
  <headerFooter>
    <oddHeader>&amp;R&amp;"Arial,Regular"&amp;10Cape Light Compact JPE
D.P.U. 26-146
Exhibit 2, EES Calculation
October 30, 2026
Page &amp;P of &amp;N</oddHeader>
  </headerFooter>
  <colBreaks count="3" manualBreakCount="3">
    <brk id="16" min="22" max="47" man="1"/>
    <brk id="32" min="22" max="47" man="1"/>
    <brk id="48" min="22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4AD6-993B-46E6-AD92-77D8BE809DAA}">
  <sheetPr codeName="Sheet34"/>
  <dimension ref="A1:BL50"/>
  <sheetViews>
    <sheetView showGridLines="0" zoomScaleNormal="100" workbookViewId="0"/>
  </sheetViews>
  <sheetFormatPr defaultColWidth="9.140625" defaultRowHeight="12.75" x14ac:dyDescent="0.2"/>
  <cols>
    <col min="1" max="1" width="5.5703125" style="12" customWidth="1"/>
    <col min="2" max="2" width="46.28515625" style="12" customWidth="1"/>
    <col min="3" max="10" width="15" style="12" customWidth="1"/>
    <col min="11" max="11" width="16.28515625" style="12" customWidth="1"/>
    <col min="12" max="12" width="18.42578125" style="12" customWidth="1"/>
    <col min="13" max="13" width="18.5703125" style="12" customWidth="1"/>
    <col min="14" max="14" width="17" style="12" customWidth="1"/>
    <col min="15" max="15" width="15.5703125" style="12" customWidth="1"/>
    <col min="16" max="16" width="15" style="12" customWidth="1"/>
    <col min="17" max="17" width="5.5703125" style="12" customWidth="1"/>
    <col min="18" max="18" width="46.28515625" style="12" customWidth="1"/>
    <col min="19" max="26" width="15" style="12" customWidth="1"/>
    <col min="27" max="27" width="16.28515625" style="12" customWidth="1"/>
    <col min="28" max="28" width="18.42578125" style="12" customWidth="1"/>
    <col min="29" max="29" width="18.5703125" style="12" customWidth="1"/>
    <col min="30" max="30" width="17" style="12" customWidth="1"/>
    <col min="31" max="31" width="15.5703125" style="12" customWidth="1"/>
    <col min="32" max="32" width="15" style="12" customWidth="1"/>
    <col min="33" max="33" width="5.5703125" style="12" customWidth="1"/>
    <col min="34" max="34" width="46.28515625" style="12" customWidth="1"/>
    <col min="35" max="42" width="15" style="12" customWidth="1"/>
    <col min="43" max="43" width="16.28515625" style="12" customWidth="1"/>
    <col min="44" max="44" width="18.42578125" style="12" customWidth="1"/>
    <col min="45" max="45" width="18.5703125" style="12" customWidth="1"/>
    <col min="46" max="46" width="17" style="12" customWidth="1"/>
    <col min="47" max="47" width="15.5703125" style="12" customWidth="1"/>
    <col min="48" max="48" width="15" style="12" customWidth="1"/>
    <col min="49" max="49" width="5.5703125" style="12" customWidth="1"/>
    <col min="50" max="50" width="46.28515625" style="12" customWidth="1"/>
    <col min="51" max="58" width="15" style="12" customWidth="1"/>
    <col min="59" max="59" width="16.28515625" style="12" customWidth="1"/>
    <col min="60" max="60" width="18.42578125" style="12" customWidth="1"/>
    <col min="61" max="61" width="18.5703125" style="12" customWidth="1"/>
    <col min="62" max="62" width="17" style="12" customWidth="1"/>
    <col min="63" max="63" width="15.5703125" style="12" customWidth="1"/>
    <col min="64" max="64" width="15" style="12" customWidth="1"/>
    <col min="65" max="65" width="2.5703125" style="12" customWidth="1"/>
    <col min="66" max="16384" width="9.140625" style="12"/>
  </cols>
  <sheetData>
    <row r="1" spans="1:27" x14ac:dyDescent="0.2">
      <c r="A1" s="46"/>
      <c r="C1" s="34" t="s">
        <v>0</v>
      </c>
      <c r="D1" s="34"/>
      <c r="E1" s="34"/>
      <c r="F1" s="34"/>
      <c r="G1" s="34"/>
      <c r="H1" s="34"/>
      <c r="I1" s="34"/>
      <c r="J1" s="34"/>
      <c r="K1" s="35"/>
      <c r="L1" s="35"/>
      <c r="M1" s="35"/>
    </row>
    <row r="2" spans="1:27" x14ac:dyDescent="0.2">
      <c r="A2" s="89"/>
      <c r="C2" s="34" t="s">
        <v>113</v>
      </c>
      <c r="D2" s="34"/>
      <c r="E2" s="34"/>
      <c r="F2" s="34"/>
      <c r="G2" s="34"/>
      <c r="H2" s="34"/>
      <c r="I2" s="34"/>
      <c r="J2" s="34"/>
      <c r="K2" s="35"/>
      <c r="L2" s="35"/>
      <c r="M2" s="35"/>
    </row>
    <row r="3" spans="1:27" x14ac:dyDescent="0.2">
      <c r="C3" s="34" t="s">
        <v>1</v>
      </c>
      <c r="D3" s="34"/>
      <c r="E3" s="34"/>
      <c r="F3" s="34"/>
      <c r="G3" s="34"/>
      <c r="H3" s="34"/>
      <c r="I3" s="34"/>
      <c r="J3" s="34"/>
      <c r="K3" s="35"/>
      <c r="L3" s="35"/>
      <c r="M3" s="35"/>
    </row>
    <row r="4" spans="1:27" x14ac:dyDescent="0.2">
      <c r="C4" s="36"/>
      <c r="D4" s="36"/>
      <c r="E4" s="36"/>
      <c r="F4" s="36"/>
      <c r="G4" s="36"/>
      <c r="H4" s="36"/>
      <c r="I4" s="36"/>
      <c r="J4" s="36"/>
      <c r="K4" s="35"/>
      <c r="L4" s="35"/>
      <c r="M4" s="35"/>
      <c r="R4" s="37"/>
      <c r="S4" s="37"/>
      <c r="T4" s="37"/>
      <c r="U4" s="37"/>
      <c r="V4" s="37"/>
      <c r="W4" s="37"/>
      <c r="X4" s="37"/>
    </row>
    <row r="5" spans="1:27" x14ac:dyDescent="0.2">
      <c r="C5" s="38"/>
      <c r="D5" s="39"/>
      <c r="E5" s="40"/>
      <c r="F5" s="42" t="s">
        <v>38</v>
      </c>
      <c r="G5" s="42"/>
      <c r="H5" s="40" t="s">
        <v>39</v>
      </c>
      <c r="I5" s="39"/>
      <c r="J5" s="40"/>
      <c r="K5" s="35"/>
      <c r="L5" s="35"/>
      <c r="M5" s="35"/>
      <c r="V5" s="38"/>
      <c r="W5" s="38"/>
      <c r="X5" s="38"/>
      <c r="Y5" s="38"/>
      <c r="Z5" s="38"/>
      <c r="AA5" s="38"/>
    </row>
    <row r="6" spans="1:27" x14ac:dyDescent="0.2">
      <c r="C6" s="42"/>
      <c r="D6" s="43" t="s">
        <v>40</v>
      </c>
      <c r="E6" s="42" t="s">
        <v>41</v>
      </c>
      <c r="F6" s="42" t="s">
        <v>42</v>
      </c>
      <c r="G6" s="44" t="s">
        <v>43</v>
      </c>
      <c r="H6" s="42" t="s">
        <v>44</v>
      </c>
      <c r="I6" s="43" t="s">
        <v>45</v>
      </c>
      <c r="J6" s="45" t="s">
        <v>46</v>
      </c>
      <c r="K6" s="35"/>
      <c r="L6" s="35"/>
      <c r="M6" s="35"/>
      <c r="U6" s="38"/>
      <c r="V6" s="42"/>
      <c r="W6" s="42"/>
      <c r="X6" s="38"/>
      <c r="Y6" s="38"/>
      <c r="Z6" s="38"/>
      <c r="AA6" s="38"/>
    </row>
    <row r="7" spans="1:27" ht="15" x14ac:dyDescent="0.35">
      <c r="C7" s="47" t="s">
        <v>47</v>
      </c>
      <c r="D7" s="48" t="s">
        <v>48</v>
      </c>
      <c r="E7" s="47" t="s">
        <v>49</v>
      </c>
      <c r="F7" s="47" t="s">
        <v>49</v>
      </c>
      <c r="G7" s="49" t="s">
        <v>50</v>
      </c>
      <c r="H7" s="47" t="s">
        <v>51</v>
      </c>
      <c r="I7" s="48" t="s">
        <v>52</v>
      </c>
      <c r="J7" s="50" t="s">
        <v>53</v>
      </c>
      <c r="K7" s="35"/>
      <c r="L7" s="35"/>
      <c r="M7" s="35"/>
      <c r="U7" s="47"/>
      <c r="V7" s="47"/>
      <c r="W7" s="47"/>
      <c r="X7" s="47"/>
      <c r="Y7" s="47"/>
      <c r="Z7" s="47"/>
      <c r="AA7" s="47"/>
    </row>
    <row r="8" spans="1:27" x14ac:dyDescent="0.2">
      <c r="C8" s="51" t="s">
        <v>8</v>
      </c>
      <c r="D8" s="52" t="s">
        <v>9</v>
      </c>
      <c r="E8" s="53" t="s">
        <v>10</v>
      </c>
      <c r="F8" s="54" t="s">
        <v>54</v>
      </c>
      <c r="G8" s="54" t="s">
        <v>55</v>
      </c>
      <c r="H8" s="53" t="s">
        <v>56</v>
      </c>
      <c r="I8" s="52" t="s">
        <v>57</v>
      </c>
      <c r="J8" s="53" t="s">
        <v>58</v>
      </c>
      <c r="K8" s="35"/>
      <c r="L8" s="35"/>
      <c r="M8" s="35"/>
      <c r="U8" s="51"/>
      <c r="V8" s="51"/>
      <c r="W8" s="51"/>
      <c r="X8" s="51"/>
      <c r="Y8" s="51"/>
      <c r="Z8" s="51"/>
      <c r="AA8" s="51"/>
    </row>
    <row r="9" spans="1:27" x14ac:dyDescent="0.2">
      <c r="C9" s="38"/>
      <c r="D9" s="39" t="s">
        <v>59</v>
      </c>
      <c r="E9" s="40" t="s">
        <v>60</v>
      </c>
      <c r="F9" s="55" t="s">
        <v>61</v>
      </c>
      <c r="G9" s="55"/>
      <c r="H9" s="40" t="s">
        <v>62</v>
      </c>
      <c r="I9" s="39" t="s">
        <v>63</v>
      </c>
      <c r="J9" s="40"/>
      <c r="K9" s="35"/>
      <c r="L9" s="35"/>
      <c r="M9" s="35"/>
    </row>
    <row r="10" spans="1:27" x14ac:dyDescent="0.2">
      <c r="C10" s="38">
        <f>Year3</f>
        <v>2027</v>
      </c>
      <c r="D10" s="58">
        <f>BL40</f>
        <v>28610.385237064969</v>
      </c>
      <c r="E10" s="59">
        <f>$BL$30</f>
        <v>-197.17854974688828</v>
      </c>
      <c r="F10" s="59">
        <f>$BL$33+$BL$34+$BL$35</f>
        <v>-565.92485515909436</v>
      </c>
      <c r="G10" s="60">
        <v>0</v>
      </c>
      <c r="H10" s="59">
        <f>$AU$44</f>
        <v>-968.50255340633169</v>
      </c>
      <c r="I10" s="58">
        <f>$BL$43</f>
        <v>50.264254551996558</v>
      </c>
      <c r="J10" s="61">
        <f>SUM(D10:I10)</f>
        <v>26929.043533304652</v>
      </c>
      <c r="K10" s="35"/>
      <c r="L10" s="35"/>
      <c r="M10" s="35"/>
      <c r="U10" s="90"/>
      <c r="V10" s="91"/>
      <c r="W10" s="91"/>
      <c r="X10" s="92"/>
      <c r="Y10" s="92"/>
      <c r="Z10" s="93"/>
      <c r="AA10" s="93"/>
    </row>
    <row r="11" spans="1:27" x14ac:dyDescent="0.2">
      <c r="D11" s="64"/>
      <c r="F11" s="64"/>
      <c r="G11" s="46"/>
      <c r="H11" s="94"/>
      <c r="I11" s="95"/>
      <c r="J11" s="46"/>
      <c r="K11" s="35"/>
      <c r="L11" s="35"/>
      <c r="M11" s="35"/>
    </row>
    <row r="12" spans="1:27" x14ac:dyDescent="0.2">
      <c r="D12" s="64"/>
      <c r="F12" s="64"/>
      <c r="I12" s="95"/>
      <c r="K12" s="35"/>
      <c r="L12" s="35"/>
      <c r="M12" s="35"/>
    </row>
    <row r="13" spans="1:27" x14ac:dyDescent="0.2">
      <c r="C13" s="38" t="s">
        <v>64</v>
      </c>
      <c r="D13" s="12" t="str">
        <f>Res!D13</f>
        <v>Effective year (January 1, 2027 - December 31, 2027).</v>
      </c>
      <c r="I13" s="38"/>
      <c r="U13" s="38"/>
    </row>
    <row r="14" spans="1:27" ht="12.75" customHeight="1" x14ac:dyDescent="0.2">
      <c r="C14" s="38" t="s">
        <v>66</v>
      </c>
      <c r="D14" s="12" t="s">
        <v>114</v>
      </c>
      <c r="E14" s="68"/>
      <c r="F14" s="68"/>
      <c r="G14" s="68"/>
      <c r="H14" s="68"/>
      <c r="I14" s="68"/>
      <c r="J14" s="68"/>
      <c r="K14" s="68"/>
      <c r="L14" s="68"/>
      <c r="M14" s="12" t="s">
        <v>36</v>
      </c>
      <c r="U14" s="38"/>
    </row>
    <row r="15" spans="1:27" x14ac:dyDescent="0.2">
      <c r="C15" s="38" t="s">
        <v>67</v>
      </c>
      <c r="D15" s="12" t="s">
        <v>115</v>
      </c>
      <c r="I15" s="38"/>
      <c r="U15" s="38"/>
    </row>
    <row r="16" spans="1:27" x14ac:dyDescent="0.2">
      <c r="C16" s="38" t="s">
        <v>68</v>
      </c>
      <c r="D16" s="12" t="s">
        <v>116</v>
      </c>
      <c r="I16" s="38"/>
      <c r="U16" s="38"/>
    </row>
    <row r="17" spans="1:64" x14ac:dyDescent="0.2">
      <c r="C17" s="38" t="s">
        <v>69</v>
      </c>
      <c r="D17" s="66" t="s">
        <v>117</v>
      </c>
      <c r="I17" s="38"/>
      <c r="U17" s="38"/>
    </row>
    <row r="18" spans="1:64" x14ac:dyDescent="0.2">
      <c r="C18" s="38" t="s">
        <v>70</v>
      </c>
      <c r="D18" s="12" t="s">
        <v>118</v>
      </c>
      <c r="I18" s="38"/>
      <c r="J18" s="12" t="s">
        <v>36</v>
      </c>
      <c r="U18" s="38"/>
    </row>
    <row r="19" spans="1:64" x14ac:dyDescent="0.2">
      <c r="C19" s="38" t="s">
        <v>71</v>
      </c>
      <c r="D19" s="12" t="s">
        <v>119</v>
      </c>
      <c r="I19" s="38"/>
    </row>
    <row r="20" spans="1:64" ht="12.75" customHeight="1" x14ac:dyDescent="0.2">
      <c r="C20" s="38" t="s">
        <v>72</v>
      </c>
      <c r="D20" s="12" t="str">
        <f>Res!D20</f>
        <v>Col. B + Col. C + Col. D + Col. E + Col. F. + Col. G.</v>
      </c>
    </row>
    <row r="21" spans="1:64" x14ac:dyDescent="0.2">
      <c r="B21" s="12" t="s">
        <v>36</v>
      </c>
      <c r="AR21" s="12" t="s">
        <v>36</v>
      </c>
    </row>
    <row r="22" spans="1:64" x14ac:dyDescent="0.2">
      <c r="P22" s="12" t="s">
        <v>36</v>
      </c>
    </row>
    <row r="23" spans="1:64" x14ac:dyDescent="0.2">
      <c r="A23" s="34" t="s">
        <v>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 t="s">
        <v>0</v>
      </c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 t="s">
        <v>0</v>
      </c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 t="s">
        <v>0</v>
      </c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</row>
    <row r="24" spans="1:64" x14ac:dyDescent="0.2">
      <c r="A24" s="34" t="str">
        <f>Year1-1&amp;" Low-Income Monthly EES Deferral"</f>
        <v>2024 Low-Income Monthly EES Deferral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 t="str">
        <f>Year1&amp;" Low-Income Monthly EES Deferral"</f>
        <v>2025 Low-Income Monthly EES Deferral</v>
      </c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 t="str">
        <f>Year2&amp;" Low-Income Monthly EES Deferral"</f>
        <v>2026 Low-Income Monthly EES Deferral</v>
      </c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 t="str">
        <f>Year3&amp;" Low-Income Monthly EES Deferral"</f>
        <v>2027 Low-Income Monthly EES Deferral</v>
      </c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</row>
    <row r="25" spans="1:64" x14ac:dyDescent="0.2">
      <c r="A25" s="34" t="s">
        <v>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 t="s">
        <v>1</v>
      </c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 t="s">
        <v>1</v>
      </c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 t="s">
        <v>1</v>
      </c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</row>
    <row r="26" spans="1:64" x14ac:dyDescent="0.2">
      <c r="A26" s="36"/>
      <c r="B26" s="35"/>
      <c r="C26" s="51" t="s">
        <v>8</v>
      </c>
      <c r="D26" s="71" t="s">
        <v>9</v>
      </c>
      <c r="E26" s="51" t="s">
        <v>10</v>
      </c>
      <c r="F26" s="53" t="s">
        <v>54</v>
      </c>
      <c r="G26" s="54" t="s">
        <v>55</v>
      </c>
      <c r="H26" s="53" t="s">
        <v>56</v>
      </c>
      <c r="I26" s="53" t="s">
        <v>57</v>
      </c>
      <c r="J26" s="53" t="s">
        <v>58</v>
      </c>
      <c r="K26" s="53" t="s">
        <v>74</v>
      </c>
      <c r="L26" s="72" t="s">
        <v>75</v>
      </c>
      <c r="M26" s="72" t="s">
        <v>76</v>
      </c>
      <c r="N26" s="72" t="s">
        <v>77</v>
      </c>
      <c r="O26" s="72" t="s">
        <v>78</v>
      </c>
      <c r="P26" s="72" t="s">
        <v>79</v>
      </c>
      <c r="Q26" s="36"/>
      <c r="R26" s="35"/>
      <c r="S26" s="51" t="s">
        <v>8</v>
      </c>
      <c r="T26" s="71" t="s">
        <v>9</v>
      </c>
      <c r="U26" s="51" t="s">
        <v>10</v>
      </c>
      <c r="V26" s="53" t="s">
        <v>54</v>
      </c>
      <c r="W26" s="54" t="s">
        <v>55</v>
      </c>
      <c r="X26" s="53" t="s">
        <v>56</v>
      </c>
      <c r="Y26" s="53" t="s">
        <v>57</v>
      </c>
      <c r="Z26" s="53" t="s">
        <v>58</v>
      </c>
      <c r="AA26" s="53" t="s">
        <v>74</v>
      </c>
      <c r="AB26" s="72" t="s">
        <v>75</v>
      </c>
      <c r="AC26" s="72" t="s">
        <v>76</v>
      </c>
      <c r="AD26" s="72" t="s">
        <v>77</v>
      </c>
      <c r="AE26" s="72" t="s">
        <v>78</v>
      </c>
      <c r="AF26" s="72" t="s">
        <v>79</v>
      </c>
      <c r="AG26" s="36"/>
      <c r="AH26" s="35"/>
      <c r="AI26" s="51" t="s">
        <v>8</v>
      </c>
      <c r="AJ26" s="71" t="s">
        <v>9</v>
      </c>
      <c r="AK26" s="51" t="s">
        <v>10</v>
      </c>
      <c r="AL26" s="53" t="s">
        <v>54</v>
      </c>
      <c r="AM26" s="54" t="s">
        <v>55</v>
      </c>
      <c r="AN26" s="53" t="s">
        <v>56</v>
      </c>
      <c r="AO26" s="53" t="s">
        <v>57</v>
      </c>
      <c r="AP26" s="53" t="s">
        <v>58</v>
      </c>
      <c r="AQ26" s="53" t="s">
        <v>74</v>
      </c>
      <c r="AR26" s="72" t="s">
        <v>75</v>
      </c>
      <c r="AS26" s="72" t="s">
        <v>76</v>
      </c>
      <c r="AT26" s="72" t="s">
        <v>77</v>
      </c>
      <c r="AU26" s="72" t="s">
        <v>78</v>
      </c>
      <c r="AV26" s="72" t="s">
        <v>79</v>
      </c>
      <c r="AW26" s="36"/>
      <c r="AX26" s="35"/>
      <c r="AY26" s="51" t="s">
        <v>8</v>
      </c>
      <c r="AZ26" s="71" t="s">
        <v>9</v>
      </c>
      <c r="BA26" s="51" t="s">
        <v>10</v>
      </c>
      <c r="BB26" s="53" t="s">
        <v>54</v>
      </c>
      <c r="BC26" s="73" t="s">
        <v>55</v>
      </c>
      <c r="BD26" s="53" t="s">
        <v>56</v>
      </c>
      <c r="BE26" s="53" t="s">
        <v>57</v>
      </c>
      <c r="BF26" s="53" t="s">
        <v>58</v>
      </c>
      <c r="BG26" s="53" t="s">
        <v>74</v>
      </c>
      <c r="BH26" s="72" t="s">
        <v>75</v>
      </c>
      <c r="BI26" s="72" t="s">
        <v>76</v>
      </c>
      <c r="BJ26" s="72" t="s">
        <v>77</v>
      </c>
      <c r="BK26" s="72" t="s">
        <v>78</v>
      </c>
      <c r="BL26" s="72" t="s">
        <v>79</v>
      </c>
    </row>
    <row r="27" spans="1:64" x14ac:dyDescent="0.2">
      <c r="A27" s="38"/>
      <c r="C27" s="51" t="str">
        <f>Res!C27</f>
        <v>Actual</v>
      </c>
      <c r="D27" s="51" t="str">
        <f>Res!D27</f>
        <v>Actual</v>
      </c>
      <c r="E27" s="51" t="str">
        <f>Res!E27</f>
        <v>Actual</v>
      </c>
      <c r="F27" s="51" t="str">
        <f>Res!F27</f>
        <v>Actual</v>
      </c>
      <c r="G27" s="51" t="str">
        <f>Res!G27</f>
        <v>Actual</v>
      </c>
      <c r="H27" s="51" t="str">
        <f>Res!H27</f>
        <v>Actual</v>
      </c>
      <c r="I27" s="51" t="str">
        <f>Res!I27</f>
        <v>Actual</v>
      </c>
      <c r="J27" s="51" t="str">
        <f>Res!J27</f>
        <v>Actual</v>
      </c>
      <c r="K27" s="51" t="str">
        <f>Res!K27</f>
        <v>Actual</v>
      </c>
      <c r="L27" s="51" t="str">
        <f>Res!L27</f>
        <v>Actual</v>
      </c>
      <c r="M27" s="51" t="str">
        <f>Res!M27</f>
        <v>Actual</v>
      </c>
      <c r="N27" s="51" t="str">
        <f>Res!N27</f>
        <v>Actual</v>
      </c>
      <c r="O27" s="51" t="str">
        <f>Res!O27</f>
        <v>Actual</v>
      </c>
      <c r="Q27" s="38"/>
      <c r="S27" s="51" t="str">
        <f>Res!S27</f>
        <v>Actual</v>
      </c>
      <c r="T27" s="51" t="str">
        <f>Res!T27</f>
        <v>Actual</v>
      </c>
      <c r="U27" s="51" t="str">
        <f>Res!U27</f>
        <v>Actual</v>
      </c>
      <c r="V27" s="51" t="str">
        <f>Res!V27</f>
        <v>Actual</v>
      </c>
      <c r="W27" s="51" t="str">
        <f>Res!W27</f>
        <v>Actual</v>
      </c>
      <c r="X27" s="51" t="str">
        <f>Res!X27</f>
        <v>Actual</v>
      </c>
      <c r="Y27" s="51" t="str">
        <f>Res!Y27</f>
        <v>Actual</v>
      </c>
      <c r="Z27" s="51" t="str">
        <f>Res!Z27</f>
        <v>Actual</v>
      </c>
      <c r="AA27" s="51" t="str">
        <f>Res!AA27</f>
        <v>Actual</v>
      </c>
      <c r="AB27" s="51" t="str">
        <f>Res!AB27</f>
        <v>Actual</v>
      </c>
      <c r="AC27" s="51" t="str">
        <f>Res!AC27</f>
        <v>Actual</v>
      </c>
      <c r="AD27" s="51" t="str">
        <f>Res!AD27</f>
        <v>Actual</v>
      </c>
      <c r="AE27" s="51" t="str">
        <f>Res!AE27</f>
        <v>Actual</v>
      </c>
      <c r="AG27" s="38"/>
      <c r="AI27" s="51" t="str">
        <f>Res!AI27</f>
        <v>Actual</v>
      </c>
      <c r="AJ27" s="51" t="str">
        <f>Res!AJ27</f>
        <v>Actual</v>
      </c>
      <c r="AK27" s="51" t="str">
        <f>Res!AK27</f>
        <v>Actual</v>
      </c>
      <c r="AL27" s="51" t="str">
        <f>Res!AL27</f>
        <v>Actual</v>
      </c>
      <c r="AM27" s="51" t="str">
        <f>Res!AM27</f>
        <v>Actual</v>
      </c>
      <c r="AN27" s="51" t="str">
        <f>Res!AN27</f>
        <v>Actual</v>
      </c>
      <c r="AO27" s="51" t="str">
        <f>Res!AO27</f>
        <v>Actual</v>
      </c>
      <c r="AP27" s="51" t="str">
        <f>Res!AP27</f>
        <v>Actual</v>
      </c>
      <c r="AQ27" s="51" t="str">
        <f>Res!AQ27</f>
        <v>Actual</v>
      </c>
      <c r="AR27" s="51" t="str">
        <f>Res!AR27</f>
        <v>Actual</v>
      </c>
      <c r="AS27" s="51" t="str">
        <f>Res!AS27</f>
        <v>Planned</v>
      </c>
      <c r="AT27" s="51" t="str">
        <f>Res!AT27</f>
        <v>Planned</v>
      </c>
      <c r="AU27" s="51" t="str">
        <f>Res!AU27</f>
        <v>Planned</v>
      </c>
      <c r="AW27" s="38"/>
      <c r="AY27" s="51" t="str">
        <f>Res!AY27</f>
        <v>Planned</v>
      </c>
      <c r="AZ27" s="51" t="str">
        <f>Res!AZ27</f>
        <v>Planned</v>
      </c>
      <c r="BA27" s="51" t="str">
        <f>Res!BA27</f>
        <v>Planned</v>
      </c>
      <c r="BB27" s="51" t="str">
        <f>Res!BB27</f>
        <v>Planned</v>
      </c>
      <c r="BC27" s="51" t="str">
        <f>Res!BC27</f>
        <v>Planned</v>
      </c>
      <c r="BD27" s="51" t="str">
        <f>Res!BD27</f>
        <v>Planned</v>
      </c>
      <c r="BE27" s="51" t="str">
        <f>Res!BE27</f>
        <v>Planned</v>
      </c>
      <c r="BF27" s="51" t="str">
        <f>Res!BF27</f>
        <v>Planned</v>
      </c>
      <c r="BG27" s="51" t="str">
        <f>Res!BG27</f>
        <v>Planned</v>
      </c>
      <c r="BH27" s="51" t="str">
        <f>Res!BH27</f>
        <v>Planned</v>
      </c>
      <c r="BI27" s="51" t="str">
        <f>Res!BI27</f>
        <v>Planned</v>
      </c>
      <c r="BJ27" s="51" t="str">
        <f>Res!BJ27</f>
        <v>Planned</v>
      </c>
      <c r="BK27" s="51" t="str">
        <f>Res!BK27</f>
        <v>Planned</v>
      </c>
    </row>
    <row r="28" spans="1:64" ht="15" x14ac:dyDescent="0.35">
      <c r="A28" s="74" t="s">
        <v>2</v>
      </c>
      <c r="B28" s="75" t="s">
        <v>81</v>
      </c>
      <c r="C28" s="74">
        <f>D28-31</f>
        <v>45261</v>
      </c>
      <c r="D28" s="74">
        <f>DATE(Year1-1,1,1)</f>
        <v>45292</v>
      </c>
      <c r="E28" s="74">
        <f>D28+31</f>
        <v>45323</v>
      </c>
      <c r="F28" s="74">
        <f>E28+29</f>
        <v>45352</v>
      </c>
      <c r="G28" s="74">
        <f>F28+31</f>
        <v>45383</v>
      </c>
      <c r="H28" s="74">
        <f>G28+30</f>
        <v>45413</v>
      </c>
      <c r="I28" s="74">
        <f>H28+31</f>
        <v>45444</v>
      </c>
      <c r="J28" s="74">
        <f>I28+30</f>
        <v>45474</v>
      </c>
      <c r="K28" s="74">
        <f>J28+31</f>
        <v>45505</v>
      </c>
      <c r="L28" s="74">
        <f>K28+31</f>
        <v>45536</v>
      </c>
      <c r="M28" s="74">
        <f>L28+30</f>
        <v>45566</v>
      </c>
      <c r="N28" s="74">
        <f>M28+31</f>
        <v>45597</v>
      </c>
      <c r="O28" s="74">
        <f>N28+30</f>
        <v>45627</v>
      </c>
      <c r="P28" s="74" t="s">
        <v>46</v>
      </c>
      <c r="Q28" s="74" t="s">
        <v>2</v>
      </c>
      <c r="R28" s="75" t="s">
        <v>81</v>
      </c>
      <c r="S28" s="74">
        <f>T28-31</f>
        <v>45627</v>
      </c>
      <c r="T28" s="74">
        <f>DATE(Year1,1,1)</f>
        <v>45658</v>
      </c>
      <c r="U28" s="74">
        <f>T28+31</f>
        <v>45689</v>
      </c>
      <c r="V28" s="74">
        <f>U28+28</f>
        <v>45717</v>
      </c>
      <c r="W28" s="74">
        <f>V28+31</f>
        <v>45748</v>
      </c>
      <c r="X28" s="74">
        <f>W28+30</f>
        <v>45778</v>
      </c>
      <c r="Y28" s="74">
        <f>X28+31</f>
        <v>45809</v>
      </c>
      <c r="Z28" s="74">
        <f>Y28+30</f>
        <v>45839</v>
      </c>
      <c r="AA28" s="74">
        <f>Z28+31</f>
        <v>45870</v>
      </c>
      <c r="AB28" s="74">
        <f>AA28+31</f>
        <v>45901</v>
      </c>
      <c r="AC28" s="74">
        <f>AB28+30</f>
        <v>45931</v>
      </c>
      <c r="AD28" s="74">
        <f>AC28+31</f>
        <v>45962</v>
      </c>
      <c r="AE28" s="74">
        <f>AD28+30</f>
        <v>45992</v>
      </c>
      <c r="AF28" s="74" t="s">
        <v>46</v>
      </c>
      <c r="AG28" s="74" t="s">
        <v>2</v>
      </c>
      <c r="AH28" s="75" t="s">
        <v>81</v>
      </c>
      <c r="AI28" s="74">
        <f>AJ28-31</f>
        <v>45992</v>
      </c>
      <c r="AJ28" s="74">
        <f>DATE(Year2,1,1)</f>
        <v>46023</v>
      </c>
      <c r="AK28" s="74">
        <f>AJ28+31</f>
        <v>46054</v>
      </c>
      <c r="AL28" s="74">
        <f>AK28+29</f>
        <v>46083</v>
      </c>
      <c r="AM28" s="74">
        <f>AL28+31</f>
        <v>46114</v>
      </c>
      <c r="AN28" s="74">
        <f>AM28+30</f>
        <v>46144</v>
      </c>
      <c r="AO28" s="74">
        <f>AN28+31</f>
        <v>46175</v>
      </c>
      <c r="AP28" s="74">
        <f>AO28+30</f>
        <v>46205</v>
      </c>
      <c r="AQ28" s="74">
        <f>AP28+31</f>
        <v>46236</v>
      </c>
      <c r="AR28" s="74">
        <f>AQ28+31</f>
        <v>46267</v>
      </c>
      <c r="AS28" s="74">
        <f>AR28+30</f>
        <v>46297</v>
      </c>
      <c r="AT28" s="74">
        <f>AS28+31</f>
        <v>46328</v>
      </c>
      <c r="AU28" s="74">
        <f>AT28+30</f>
        <v>46358</v>
      </c>
      <c r="AV28" s="74" t="s">
        <v>46</v>
      </c>
      <c r="AW28" s="74" t="s">
        <v>2</v>
      </c>
      <c r="AX28" s="75" t="s">
        <v>81</v>
      </c>
      <c r="AY28" s="74">
        <f>AZ28-31</f>
        <v>46357</v>
      </c>
      <c r="AZ28" s="74">
        <f>DATE(Year3,1,1)</f>
        <v>46388</v>
      </c>
      <c r="BA28" s="74">
        <f>AZ28+31</f>
        <v>46419</v>
      </c>
      <c r="BB28" s="74">
        <f>BA28+29</f>
        <v>46448</v>
      </c>
      <c r="BC28" s="74">
        <f>BB28+31</f>
        <v>46479</v>
      </c>
      <c r="BD28" s="74">
        <f>BC28+30</f>
        <v>46509</v>
      </c>
      <c r="BE28" s="74">
        <f>BD28+31</f>
        <v>46540</v>
      </c>
      <c r="BF28" s="74">
        <f>BE28+30</f>
        <v>46570</v>
      </c>
      <c r="BG28" s="74">
        <f>BF28+31</f>
        <v>46601</v>
      </c>
      <c r="BH28" s="74">
        <f>BG28+31</f>
        <v>46632</v>
      </c>
      <c r="BI28" s="74">
        <f>BH28+30</f>
        <v>46662</v>
      </c>
      <c r="BJ28" s="74">
        <f>BI28+31</f>
        <v>46693</v>
      </c>
      <c r="BK28" s="74">
        <f>BJ28+30</f>
        <v>46723</v>
      </c>
      <c r="BL28" s="74" t="s">
        <v>46</v>
      </c>
    </row>
    <row r="29" spans="1:64" x14ac:dyDescent="0.2">
      <c r="A29" s="38"/>
      <c r="Q29" s="38"/>
      <c r="AG29" s="38"/>
      <c r="AW29" s="38"/>
    </row>
    <row r="30" spans="1:64" x14ac:dyDescent="0.2">
      <c r="A30" s="38">
        <f>Res!A30</f>
        <v>1</v>
      </c>
      <c r="B30" s="66" t="str">
        <f>Res!B30</f>
        <v>SBC Revenues</v>
      </c>
      <c r="C30" s="76"/>
      <c r="D30" s="77">
        <v>0</v>
      </c>
      <c r="E30" s="77">
        <v>-15.424198315058243</v>
      </c>
      <c r="F30" s="77">
        <v>-15.424198315058243</v>
      </c>
      <c r="G30" s="77">
        <v>-15.424198315058243</v>
      </c>
      <c r="H30" s="77">
        <v>-15.424198315058243</v>
      </c>
      <c r="I30" s="77">
        <v>-15.424198315058243</v>
      </c>
      <c r="J30" s="77">
        <v>-15.424198315058243</v>
      </c>
      <c r="K30" s="77">
        <v>-15.424198315058243</v>
      </c>
      <c r="L30" s="77">
        <v>-30.848396630116486</v>
      </c>
      <c r="M30" s="77">
        <v>-7.7120991575291216</v>
      </c>
      <c r="N30" s="77">
        <v>-15.424198315058243</v>
      </c>
      <c r="O30" s="77">
        <v>-25.515594690430049</v>
      </c>
      <c r="P30" s="77">
        <f t="shared" ref="P30:P36" si="0">SUM(D30:O30)</f>
        <v>-187.46967699854162</v>
      </c>
      <c r="Q30" s="38">
        <v>1</v>
      </c>
      <c r="R30" s="66" t="str">
        <f>Res!R30</f>
        <v>SBC Revenues</v>
      </c>
      <c r="S30" s="76"/>
      <c r="T30" s="77">
        <v>0</v>
      </c>
      <c r="U30" s="77">
        <v>-17.811424965628802</v>
      </c>
      <c r="V30" s="77">
        <v>-17.811424965628802</v>
      </c>
      <c r="W30" s="77">
        <v>-17.811424965628802</v>
      </c>
      <c r="X30" s="77">
        <v>-17.811424965628802</v>
      </c>
      <c r="Y30" s="77">
        <v>-17.811424965628802</v>
      </c>
      <c r="Z30" s="77">
        <v>-17.811424965628802</v>
      </c>
      <c r="AA30" s="77">
        <v>-18.978233337498207</v>
      </c>
      <c r="AB30" s="77">
        <v>-18.978233337498207</v>
      </c>
      <c r="AC30" s="77">
        <v>-18.978233337498207</v>
      </c>
      <c r="AD30" s="77">
        <v>-18.978233337498207</v>
      </c>
      <c r="AE30" s="77">
        <v>-36.735429905419323</v>
      </c>
      <c r="AF30" s="77">
        <f t="shared" ref="AF30:AF36" si="1">SUM(T30:AE30)</f>
        <v>-219.51691304918498</v>
      </c>
      <c r="AG30" s="38">
        <v>1</v>
      </c>
      <c r="AH30" s="66" t="str">
        <f>Res!AH30</f>
        <v>SBC Revenues</v>
      </c>
      <c r="AI30" s="76"/>
      <c r="AJ30" s="77">
        <v>0</v>
      </c>
      <c r="AK30" s="77">
        <v>-19.752226098665684</v>
      </c>
      <c r="AL30" s="77">
        <v>-19.752226098665684</v>
      </c>
      <c r="AM30" s="77">
        <v>-19.752226098665684</v>
      </c>
      <c r="AN30" s="77">
        <v>-19.752226098665684</v>
      </c>
      <c r="AO30" s="77">
        <v>-19.752226098665684</v>
      </c>
      <c r="AP30" s="77">
        <v>-19.752226098665684</v>
      </c>
      <c r="AQ30" s="77">
        <v>-19.752226098665684</v>
      </c>
      <c r="AR30" s="77">
        <v>-19.752226098665684</v>
      </c>
      <c r="AS30" s="77">
        <v>-19.752166465633476</v>
      </c>
      <c r="AT30" s="77">
        <v>-19.752166465633476</v>
      </c>
      <c r="AU30" s="77">
        <v>-39.504332931266951</v>
      </c>
      <c r="AV30" s="77">
        <f>SUM(AJ30:AU30)</f>
        <v>-237.02647465185939</v>
      </c>
      <c r="AW30" s="38">
        <v>1</v>
      </c>
      <c r="AX30" s="66" t="str">
        <f>Res!AX30</f>
        <v>SBC Revenues</v>
      </c>
      <c r="AY30" s="76"/>
      <c r="AZ30" s="77">
        <v>0</v>
      </c>
      <c r="BA30" s="77">
        <v>-16.431545812240689</v>
      </c>
      <c r="BB30" s="77">
        <v>-16.431545812240689</v>
      </c>
      <c r="BC30" s="77">
        <v>-16.431545812240689</v>
      </c>
      <c r="BD30" s="77">
        <v>-16.431545812240689</v>
      </c>
      <c r="BE30" s="77">
        <v>-16.431545812240689</v>
      </c>
      <c r="BF30" s="77">
        <v>-16.431545812240689</v>
      </c>
      <c r="BG30" s="77">
        <v>-16.431545812240689</v>
      </c>
      <c r="BH30" s="77">
        <v>-16.431545812240689</v>
      </c>
      <c r="BI30" s="77">
        <v>-16.431545812240689</v>
      </c>
      <c r="BJ30" s="77">
        <v>-16.431545812240689</v>
      </c>
      <c r="BK30" s="77">
        <v>-32.863091624481378</v>
      </c>
      <c r="BL30" s="77">
        <f t="shared" ref="BL30:BL36" si="2">SUM(AZ30:BK30)</f>
        <v>-197.17854974688828</v>
      </c>
    </row>
    <row r="31" spans="1:64" x14ac:dyDescent="0.2">
      <c r="A31" s="38">
        <f>Res!A31</f>
        <v>2</v>
      </c>
      <c r="B31" s="66" t="str">
        <f>Res!B31</f>
        <v>EES Revenues, 1/1/2024-6/30/2024</v>
      </c>
      <c r="C31" s="76"/>
      <c r="D31" s="77">
        <v>0</v>
      </c>
      <c r="E31" s="77">
        <v>196.38588444496094</v>
      </c>
      <c r="F31" s="77">
        <v>196.38588444496094</v>
      </c>
      <c r="G31" s="77">
        <v>196.38588444496094</v>
      </c>
      <c r="H31" s="77">
        <v>196.38588444496094</v>
      </c>
      <c r="I31" s="77">
        <v>196.38588444496094</v>
      </c>
      <c r="J31" s="77">
        <v>196.38588444496094</v>
      </c>
      <c r="K31" s="77"/>
      <c r="P31" s="77">
        <f t="shared" si="0"/>
        <v>1178.3153066697657</v>
      </c>
      <c r="Q31" s="38">
        <v>2</v>
      </c>
      <c r="R31" s="66" t="str">
        <f>Res!R31</f>
        <v>EES Revenues, 1/1/2025-6/30/2025</v>
      </c>
      <c r="S31" s="76"/>
      <c r="T31" s="77">
        <v>0</v>
      </c>
      <c r="U31" s="77">
        <v>-2120.705805489486</v>
      </c>
      <c r="V31" s="77">
        <v>-2120.705805489486</v>
      </c>
      <c r="W31" s="77">
        <v>-2120.705805489486</v>
      </c>
      <c r="X31" s="77">
        <v>-2120.705805489486</v>
      </c>
      <c r="Y31" s="77">
        <v>-2120.705805489486</v>
      </c>
      <c r="Z31" s="77">
        <v>-2120.705805489486</v>
      </c>
      <c r="AA31" s="77"/>
      <c r="AB31" s="77"/>
      <c r="AC31" s="77"/>
      <c r="AD31" s="77"/>
      <c r="AE31" s="77"/>
      <c r="AF31" s="77">
        <f t="shared" si="1"/>
        <v>-12724.234832936916</v>
      </c>
      <c r="AG31" s="38">
        <f t="shared" ref="AG31:AG36" si="3">AG30+1</f>
        <v>2</v>
      </c>
      <c r="AH31" s="66" t="str">
        <f>Res!AH31</f>
        <v>EES Revenues</v>
      </c>
      <c r="AI31" s="76"/>
      <c r="AJ31" s="77">
        <v>0</v>
      </c>
      <c r="AK31" s="77">
        <v>-2095.8205701908914</v>
      </c>
      <c r="AL31" s="77">
        <v>-2095.8205701908914</v>
      </c>
      <c r="AM31" s="77">
        <v>-2095.8205701908914</v>
      </c>
      <c r="AN31" s="77">
        <v>-2095.8205701908914</v>
      </c>
      <c r="AO31" s="77">
        <v>-2095.8205701908914</v>
      </c>
      <c r="AP31" s="77">
        <v>-2095.8205701908914</v>
      </c>
      <c r="AQ31" s="77">
        <v>-2095.8205701908914</v>
      </c>
      <c r="AR31" s="77">
        <v>-2095.8205701908914</v>
      </c>
      <c r="AS31" s="77">
        <v>-2095.8206980728414</v>
      </c>
      <c r="AT31" s="77">
        <v>-2095.8206980728414</v>
      </c>
      <c r="AU31" s="77">
        <v>-4191.6413961456828</v>
      </c>
      <c r="AV31" s="77">
        <f>SUM(AJ31:AU31)</f>
        <v>-25149.847353818499</v>
      </c>
      <c r="AW31" s="38">
        <v>2</v>
      </c>
      <c r="AX31" s="66" t="str">
        <f>Res!AX31</f>
        <v>EES Revenues</v>
      </c>
      <c r="AY31" s="76"/>
      <c r="AZ31" s="77">
        <v>0</v>
      </c>
      <c r="BA31" s="77">
        <v>-2244.0869611087214</v>
      </c>
      <c r="BB31" s="77">
        <v>-2244.0869611087214</v>
      </c>
      <c r="BC31" s="77">
        <v>-2244.0869611087214</v>
      </c>
      <c r="BD31" s="77">
        <v>-2244.0869611087214</v>
      </c>
      <c r="BE31" s="77">
        <v>-2244.0869611087214</v>
      </c>
      <c r="BF31" s="77">
        <v>-2244.0869611087214</v>
      </c>
      <c r="BG31" s="77">
        <v>-2244.0869611087214</v>
      </c>
      <c r="BH31" s="77">
        <v>-2244.0869611087214</v>
      </c>
      <c r="BI31" s="77">
        <v>-2244.0869611087214</v>
      </c>
      <c r="BJ31" s="77">
        <v>-2244.0869611087214</v>
      </c>
      <c r="BK31" s="77">
        <v>-4488.1739222174429</v>
      </c>
      <c r="BL31" s="77">
        <f t="shared" si="2"/>
        <v>-26929.043533304659</v>
      </c>
    </row>
    <row r="32" spans="1:64" x14ac:dyDescent="0.2">
      <c r="A32" s="38">
        <f>Res!A32</f>
        <v>3</v>
      </c>
      <c r="B32" s="66" t="str">
        <f>Res!B32</f>
        <v>EES Revenues, 7/1/2024-12/31/2024</v>
      </c>
      <c r="C32" s="76"/>
      <c r="D32" s="77"/>
      <c r="E32" s="77"/>
      <c r="F32" s="77"/>
      <c r="G32" s="77"/>
      <c r="H32" s="77"/>
      <c r="I32" s="77"/>
      <c r="J32" s="77"/>
      <c r="K32" s="77">
        <v>-1558.9753840635888</v>
      </c>
      <c r="L32" s="77">
        <v>-5958.0390632507888</v>
      </c>
      <c r="M32" s="77">
        <v>-1527.0321447167196</v>
      </c>
      <c r="N32" s="77">
        <v>-3054.0642894334392</v>
      </c>
      <c r="O32" s="77">
        <v>-5515.2757541429901</v>
      </c>
      <c r="P32" s="77">
        <f t="shared" si="0"/>
        <v>-17613.386635607527</v>
      </c>
      <c r="Q32" s="38">
        <v>3</v>
      </c>
      <c r="R32" s="66" t="str">
        <f>Res!R32</f>
        <v>EES Revenues, 7/1/2025-12/31/2025</v>
      </c>
      <c r="S32" s="76"/>
      <c r="T32" s="77"/>
      <c r="U32" s="77"/>
      <c r="V32" s="77"/>
      <c r="W32" s="77"/>
      <c r="X32" s="77"/>
      <c r="Y32" s="77"/>
      <c r="Z32" s="77"/>
      <c r="AA32" s="77">
        <v>-2436.1273334413468</v>
      </c>
      <c r="AB32" s="77">
        <v>-2436.1273334413468</v>
      </c>
      <c r="AC32" s="77">
        <v>-2436.1273334413468</v>
      </c>
      <c r="AD32" s="77">
        <v>-2436.1273334413468</v>
      </c>
      <c r="AE32" s="77">
        <v>-3200.71894382851</v>
      </c>
      <c r="AF32" s="77">
        <f>SUM(T32:AE32)</f>
        <v>-12945.228277593897</v>
      </c>
      <c r="AG32" s="38"/>
      <c r="AH32" s="66"/>
      <c r="AI32" s="76"/>
      <c r="AJ32" s="77"/>
      <c r="AK32" s="77"/>
      <c r="AL32" s="77"/>
      <c r="AM32" s="77"/>
      <c r="AN32" s="77"/>
      <c r="AO32" s="77"/>
      <c r="AP32" s="77"/>
      <c r="AV32" s="77"/>
      <c r="AW32" s="38"/>
      <c r="AX32" s="66"/>
      <c r="AY32" s="76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</row>
    <row r="33" spans="1:64" x14ac:dyDescent="0.2">
      <c r="A33" s="38">
        <f>Res!A33</f>
        <v>4</v>
      </c>
      <c r="B33" s="66" t="str">
        <f>Res!B33</f>
        <v>FCM Revenues*</v>
      </c>
      <c r="C33" s="76"/>
      <c r="D33" s="77">
        <v>-2.8911210874641338</v>
      </c>
      <c r="E33" s="77">
        <v>-4.7626914232990751</v>
      </c>
      <c r="F33" s="77">
        <v>-5.146569832094559</v>
      </c>
      <c r="G33" s="77">
        <v>-5.8246683208020729</v>
      </c>
      <c r="H33" s="77">
        <v>-4.4582512369803204</v>
      </c>
      <c r="I33" s="77">
        <v>-7.3438167537191932</v>
      </c>
      <c r="J33" s="77">
        <v>-9.3402850640165695</v>
      </c>
      <c r="K33" s="77">
        <v>-10.025956386689993</v>
      </c>
      <c r="L33" s="77">
        <v>-8.8825382692838168</v>
      </c>
      <c r="M33" s="77">
        <v>-9.2401351926940034</v>
      </c>
      <c r="N33" s="77">
        <v>-8.2307605933412962</v>
      </c>
      <c r="O33" s="77">
        <v>-14.336887259345461</v>
      </c>
      <c r="P33" s="77">
        <f t="shared" si="0"/>
        <v>-90.483681419730488</v>
      </c>
      <c r="Q33" s="38">
        <v>4</v>
      </c>
      <c r="R33" s="66" t="str">
        <f>Res!R33</f>
        <v>FCM Revenues*</v>
      </c>
      <c r="S33" s="76"/>
      <c r="T33" s="77">
        <v>-6.2912485768183668</v>
      </c>
      <c r="U33" s="77">
        <v>-9.4350898015419808</v>
      </c>
      <c r="V33" s="77">
        <v>-9.1898121446356367</v>
      </c>
      <c r="W33" s="77">
        <v>-8.7787180769824413</v>
      </c>
      <c r="X33" s="77">
        <v>-9.3390739095434157</v>
      </c>
      <c r="Y33" s="77">
        <v>-7.9097994053619409</v>
      </c>
      <c r="Z33" s="77">
        <v>-5.348620346626066</v>
      </c>
      <c r="AA33" s="77">
        <v>-5.5093781906996</v>
      </c>
      <c r="AB33" s="77">
        <v>-5.197767240952305</v>
      </c>
      <c r="AC33" s="77">
        <v>-5.7157956790078446</v>
      </c>
      <c r="AD33" s="77">
        <v>-3.8546792824690783</v>
      </c>
      <c r="AE33" s="77">
        <v>-5.8677581834784691</v>
      </c>
      <c r="AF33" s="77">
        <f t="shared" si="1"/>
        <v>-82.437740838117151</v>
      </c>
      <c r="AG33" s="38">
        <f>AG31+1</f>
        <v>3</v>
      </c>
      <c r="AH33" s="66" t="str">
        <f>Res!AH33</f>
        <v>FCM Revenues*</v>
      </c>
      <c r="AI33" s="76"/>
      <c r="AJ33" s="77">
        <v>-5.709617258215542</v>
      </c>
      <c r="AK33" s="77">
        <v>-5.1997691686585048</v>
      </c>
      <c r="AL33" s="77">
        <v>-5.3164101990486206</v>
      </c>
      <c r="AM33" s="77">
        <v>-4.5029836383157233</v>
      </c>
      <c r="AN33" s="77">
        <v>-4.7950717788354522</v>
      </c>
      <c r="AO33" s="77">
        <v>-5.2755961878501374</v>
      </c>
      <c r="AP33" s="77">
        <v>-4.9012414686959778</v>
      </c>
      <c r="AQ33" s="77">
        <v>-4.2437682583615794</v>
      </c>
      <c r="AR33" s="77">
        <v>-3.9850977579130773</v>
      </c>
      <c r="AS33" s="77">
        <v>-1.3451106010291547</v>
      </c>
      <c r="AT33" s="77">
        <v>-1.3451106010291547</v>
      </c>
      <c r="AU33" s="77">
        <v>-1.3451106010291547</v>
      </c>
      <c r="AV33" s="77">
        <f>SUM(AJ33:AU33)</f>
        <v>-47.964887518982074</v>
      </c>
      <c r="AW33" s="38">
        <v>3</v>
      </c>
      <c r="AX33" s="66" t="str">
        <f>Res!AX33</f>
        <v>FCM Revenues*</v>
      </c>
      <c r="AY33" s="76"/>
      <c r="AZ33" s="77">
        <v>-3.7784532545727547</v>
      </c>
      <c r="BA33" s="77">
        <v>-3.7784532545727547</v>
      </c>
      <c r="BB33" s="77">
        <v>-3.7784532545727547</v>
      </c>
      <c r="BC33" s="77">
        <v>-3.7784532545727547</v>
      </c>
      <c r="BD33" s="77">
        <v>-3.7784532545727547</v>
      </c>
      <c r="BE33" s="77">
        <v>-3.7784532545727547</v>
      </c>
      <c r="BF33" s="77">
        <v>-3.7784532545727547</v>
      </c>
      <c r="BG33" s="77">
        <v>-3.7784532545727547</v>
      </c>
      <c r="BH33" s="77">
        <v>-3.7784532545727547</v>
      </c>
      <c r="BI33" s="77">
        <v>-3.7784532545727547</v>
      </c>
      <c r="BJ33" s="77">
        <v>-3.7784532545727547</v>
      </c>
      <c r="BK33" s="77">
        <v>-3.7784532545727547</v>
      </c>
      <c r="BL33" s="77">
        <f t="shared" si="2"/>
        <v>-45.341439054873042</v>
      </c>
    </row>
    <row r="34" spans="1:64" x14ac:dyDescent="0.2">
      <c r="A34" s="38">
        <f>Res!A34</f>
        <v>5</v>
      </c>
      <c r="B34" s="66" t="str">
        <f>Res!B34</f>
        <v>RGGI Revenues**</v>
      </c>
      <c r="C34" s="76"/>
      <c r="D34" s="77">
        <v>-62.294604517737469</v>
      </c>
      <c r="E34" s="77">
        <v>0</v>
      </c>
      <c r="F34" s="77">
        <v>0</v>
      </c>
      <c r="G34" s="77">
        <v>-79.282644904919636</v>
      </c>
      <c r="H34" s="77">
        <v>0</v>
      </c>
      <c r="I34" s="77">
        <v>-113.62064900002281</v>
      </c>
      <c r="J34" s="77">
        <v>0</v>
      </c>
      <c r="K34" s="77">
        <v>0</v>
      </c>
      <c r="L34" s="77">
        <v>0</v>
      </c>
      <c r="M34" s="77">
        <v>0</v>
      </c>
      <c r="N34" s="77">
        <v>-94.206003641729311</v>
      </c>
      <c r="O34" s="77">
        <v>0</v>
      </c>
      <c r="P34" s="77">
        <f t="shared" si="0"/>
        <v>-349.40390206440924</v>
      </c>
      <c r="Q34" s="38">
        <v>5</v>
      </c>
      <c r="R34" s="66" t="str">
        <f>Res!R34</f>
        <v>RGGI Revenues**</v>
      </c>
      <c r="S34" s="76"/>
      <c r="T34" s="77">
        <v>0</v>
      </c>
      <c r="U34" s="77">
        <v>-271.49101278000001</v>
      </c>
      <c r="V34" s="77">
        <v>-236.65200666000001</v>
      </c>
      <c r="W34" s="77">
        <v>0</v>
      </c>
      <c r="X34" s="77">
        <v>-186.16716536999999</v>
      </c>
      <c r="Y34" s="77">
        <v>0</v>
      </c>
      <c r="Z34" s="77">
        <v>0</v>
      </c>
      <c r="AA34" s="77">
        <v>0</v>
      </c>
      <c r="AB34" s="77">
        <v>0</v>
      </c>
      <c r="AC34" s="77">
        <v>-323.27861667000002</v>
      </c>
      <c r="AD34" s="77">
        <v>0</v>
      </c>
      <c r="AE34" s="77">
        <v>0</v>
      </c>
      <c r="AF34" s="77">
        <f t="shared" si="1"/>
        <v>-1017.58880148</v>
      </c>
      <c r="AG34" s="38">
        <f t="shared" si="3"/>
        <v>4</v>
      </c>
      <c r="AH34" s="66" t="str">
        <f>Res!AH34</f>
        <v>RGGI Revenues**</v>
      </c>
      <c r="AI34" s="76"/>
      <c r="AJ34" s="77">
        <v>0</v>
      </c>
      <c r="AK34" s="77">
        <v>0</v>
      </c>
      <c r="AL34" s="77">
        <v>-387.96665720999999</v>
      </c>
      <c r="AM34" s="77">
        <v>0</v>
      </c>
      <c r="AN34" s="77">
        <v>-694.98939270000005</v>
      </c>
      <c r="AO34" s="77">
        <v>0</v>
      </c>
      <c r="AP34" s="77">
        <v>0</v>
      </c>
      <c r="AQ34" s="77">
        <v>0</v>
      </c>
      <c r="AR34" s="77">
        <v>-685.78958394000006</v>
      </c>
      <c r="AS34" s="77">
        <v>0</v>
      </c>
      <c r="AT34" s="77">
        <v>0</v>
      </c>
      <c r="AU34" s="77">
        <v>0</v>
      </c>
      <c r="AV34" s="77">
        <f>SUM(AJ34:AU34)</f>
        <v>-1768.7456338500001</v>
      </c>
      <c r="AW34" s="38">
        <v>4</v>
      </c>
      <c r="AX34" s="66" t="str">
        <f>Res!AX34</f>
        <v>RGGI Revenues**</v>
      </c>
      <c r="AY34" s="76"/>
      <c r="AZ34" s="77">
        <v>0</v>
      </c>
      <c r="BA34" s="77">
        <v>0</v>
      </c>
      <c r="BB34" s="77">
        <v>-128.08129152605534</v>
      </c>
      <c r="BC34" s="77">
        <v>0</v>
      </c>
      <c r="BD34" s="77">
        <v>0</v>
      </c>
      <c r="BE34" s="77">
        <v>-128.08129152605534</v>
      </c>
      <c r="BF34" s="77">
        <v>0</v>
      </c>
      <c r="BG34" s="77">
        <v>0</v>
      </c>
      <c r="BH34" s="77">
        <v>-128.08129152605534</v>
      </c>
      <c r="BI34" s="77">
        <v>0</v>
      </c>
      <c r="BJ34" s="77">
        <v>0</v>
      </c>
      <c r="BK34" s="77">
        <v>-128.08129152605534</v>
      </c>
      <c r="BL34" s="77">
        <f t="shared" si="2"/>
        <v>-512.32516610422135</v>
      </c>
    </row>
    <row r="35" spans="1:64" ht="15" x14ac:dyDescent="0.35">
      <c r="A35" s="38">
        <f>Res!A35</f>
        <v>6</v>
      </c>
      <c r="B35" s="66" t="str">
        <f>Res!B35</f>
        <v>Other Revenues***</v>
      </c>
      <c r="C35" s="76"/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-0.70979999999999999</v>
      </c>
      <c r="M35" s="78">
        <v>0</v>
      </c>
      <c r="N35" s="78">
        <v>0</v>
      </c>
      <c r="O35" s="78">
        <v>-0.71819999999999995</v>
      </c>
      <c r="P35" s="78">
        <f t="shared" si="0"/>
        <v>-1.4279999999999999</v>
      </c>
      <c r="Q35" s="38">
        <v>6</v>
      </c>
      <c r="R35" s="66" t="str">
        <f>Res!R35</f>
        <v>Other Revenues***</v>
      </c>
      <c r="S35" s="76"/>
      <c r="T35" s="78">
        <v>0</v>
      </c>
      <c r="U35" s="78">
        <v>0</v>
      </c>
      <c r="V35" s="78">
        <v>0</v>
      </c>
      <c r="W35" s="78">
        <v>-0.95399999999999996</v>
      </c>
      <c r="X35" s="78">
        <v>0</v>
      </c>
      <c r="Y35" s="78">
        <v>-0.74099999999999999</v>
      </c>
      <c r="Z35" s="78">
        <v>0</v>
      </c>
      <c r="AA35" s="78">
        <v>-1.216</v>
      </c>
      <c r="AB35" s="78">
        <v>0</v>
      </c>
      <c r="AC35" s="78">
        <v>0</v>
      </c>
      <c r="AD35" s="78">
        <v>-3.6269999999999998</v>
      </c>
      <c r="AE35" s="78">
        <v>0</v>
      </c>
      <c r="AF35" s="78">
        <f>SUM(T35:AE35)</f>
        <v>-6.5379999999999994</v>
      </c>
      <c r="AG35" s="38">
        <f t="shared" si="3"/>
        <v>5</v>
      </c>
      <c r="AH35" s="66" t="str">
        <f>Res!AH35</f>
        <v>Other Revenues***</v>
      </c>
      <c r="AI35" s="76"/>
      <c r="AJ35" s="78">
        <v>0</v>
      </c>
      <c r="AK35" s="78">
        <v>-3.6659999999999999</v>
      </c>
      <c r="AL35" s="78">
        <v>0</v>
      </c>
      <c r="AM35" s="78">
        <v>0</v>
      </c>
      <c r="AN35" s="78">
        <v>-1.3859999999999999</v>
      </c>
      <c r="AO35" s="78">
        <v>0</v>
      </c>
      <c r="AP35" s="78">
        <v>0</v>
      </c>
      <c r="AQ35" s="78">
        <v>-1.6485000000000001</v>
      </c>
      <c r="AR35" s="78">
        <v>0</v>
      </c>
      <c r="AS35" s="78">
        <v>0</v>
      </c>
      <c r="AT35" s="78">
        <v>0</v>
      </c>
      <c r="AU35" s="78">
        <v>-2.0645625000000001</v>
      </c>
      <c r="AV35" s="78">
        <f>SUM(AJ35:AU35)</f>
        <v>-8.7650624999999991</v>
      </c>
      <c r="AW35" s="38">
        <v>5</v>
      </c>
      <c r="AX35" s="66" t="str">
        <f>Res!AX35</f>
        <v>Other Revenues***</v>
      </c>
      <c r="AY35" s="76"/>
      <c r="AZ35" s="78">
        <v>0</v>
      </c>
      <c r="BA35" s="78">
        <v>0</v>
      </c>
      <c r="BB35" s="78">
        <v>-2.0645625000000001</v>
      </c>
      <c r="BC35" s="78">
        <v>0</v>
      </c>
      <c r="BD35" s="78">
        <v>0</v>
      </c>
      <c r="BE35" s="78">
        <v>-2.0645625000000001</v>
      </c>
      <c r="BF35" s="78">
        <v>0</v>
      </c>
      <c r="BG35" s="78">
        <v>0</v>
      </c>
      <c r="BH35" s="78">
        <v>-2.0645625000000001</v>
      </c>
      <c r="BI35" s="78">
        <v>0</v>
      </c>
      <c r="BJ35" s="78">
        <v>0</v>
      </c>
      <c r="BK35" s="78">
        <v>-2.0645625000000001</v>
      </c>
      <c r="BL35" s="78">
        <f>SUM(AZ35:BK35)</f>
        <v>-8.2582500000000003</v>
      </c>
    </row>
    <row r="36" spans="1:64" x14ac:dyDescent="0.2">
      <c r="A36" s="38">
        <f>Res!A36</f>
        <v>7</v>
      </c>
      <c r="B36" s="66" t="str">
        <f>Res!B36</f>
        <v>Total Energy Efficiency Revenues</v>
      </c>
      <c r="C36" s="76"/>
      <c r="D36" s="77">
        <f t="shared" ref="D36:N36" si="4">SUM(D30:D35)</f>
        <v>-65.185725605201597</v>
      </c>
      <c r="E36" s="77">
        <f t="shared" si="4"/>
        <v>176.1989947066036</v>
      </c>
      <c r="F36" s="77">
        <f t="shared" si="4"/>
        <v>175.81511629780812</v>
      </c>
      <c r="G36" s="77">
        <f t="shared" si="4"/>
        <v>95.854372904180991</v>
      </c>
      <c r="H36" s="77">
        <f t="shared" si="4"/>
        <v>176.50343489292237</v>
      </c>
      <c r="I36" s="77">
        <f t="shared" si="4"/>
        <v>59.997220376160698</v>
      </c>
      <c r="J36" s="77">
        <f t="shared" si="4"/>
        <v>171.62140106588612</v>
      </c>
      <c r="K36" s="77">
        <f t="shared" si="4"/>
        <v>-1584.425538765337</v>
      </c>
      <c r="L36" s="77">
        <f t="shared" si="4"/>
        <v>-5998.4797981501888</v>
      </c>
      <c r="M36" s="77">
        <f t="shared" si="4"/>
        <v>-1543.9843790669427</v>
      </c>
      <c r="N36" s="77">
        <f t="shared" si="4"/>
        <v>-3171.9252519835677</v>
      </c>
      <c r="O36" s="77">
        <f>SUM(O30:O35)</f>
        <v>-5555.8464360927655</v>
      </c>
      <c r="P36" s="77">
        <f t="shared" si="0"/>
        <v>-17063.85658942044</v>
      </c>
      <c r="Q36" s="38">
        <v>7</v>
      </c>
      <c r="R36" s="66" t="str">
        <f>Res!R36</f>
        <v>Total Energy Efficiency Revenues</v>
      </c>
      <c r="S36" s="76"/>
      <c r="T36" s="77">
        <f t="shared" ref="T36:AD36" si="5">SUM(T30:T35)</f>
        <v>-6.2912485768183668</v>
      </c>
      <c r="U36" s="77">
        <f t="shared" si="5"/>
        <v>-2419.4433330366564</v>
      </c>
      <c r="V36" s="77">
        <f t="shared" si="5"/>
        <v>-2384.3590492597505</v>
      </c>
      <c r="W36" s="77">
        <f t="shared" si="5"/>
        <v>-2148.2499485320973</v>
      </c>
      <c r="X36" s="77">
        <f t="shared" si="5"/>
        <v>-2334.0234697346582</v>
      </c>
      <c r="Y36" s="77">
        <f t="shared" si="5"/>
        <v>-2147.1680298604765</v>
      </c>
      <c r="Z36" s="77">
        <f t="shared" si="5"/>
        <v>-2143.8658508017406</v>
      </c>
      <c r="AA36" s="77">
        <f t="shared" si="5"/>
        <v>-2461.8309449695444</v>
      </c>
      <c r="AB36" s="77">
        <f t="shared" si="5"/>
        <v>-2460.3033340197971</v>
      </c>
      <c r="AC36" s="77">
        <f t="shared" si="5"/>
        <v>-2784.0999791278527</v>
      </c>
      <c r="AD36" s="77">
        <f t="shared" si="5"/>
        <v>-2462.5872460613141</v>
      </c>
      <c r="AE36" s="77">
        <f>SUM(AE30:AE35)</f>
        <v>-3243.3221319174077</v>
      </c>
      <c r="AF36" s="77">
        <f t="shared" si="1"/>
        <v>-26995.544565898115</v>
      </c>
      <c r="AG36" s="38">
        <f t="shared" si="3"/>
        <v>6</v>
      </c>
      <c r="AH36" s="66" t="str">
        <f>Res!AH36</f>
        <v>Total Energy Efficiency Revenues</v>
      </c>
      <c r="AI36" s="76"/>
      <c r="AJ36" s="77">
        <f t="shared" ref="AJ36:AU36" si="6">SUM(AJ30:AJ35)</f>
        <v>-5.709617258215542</v>
      </c>
      <c r="AK36" s="77">
        <f t="shared" si="6"/>
        <v>-2124.4385654582156</v>
      </c>
      <c r="AL36" s="77">
        <f t="shared" si="6"/>
        <v>-2508.8558636986058</v>
      </c>
      <c r="AM36" s="77">
        <f t="shared" si="6"/>
        <v>-2120.0757799278726</v>
      </c>
      <c r="AN36" s="77">
        <f t="shared" si="6"/>
        <v>-2816.7432607683927</v>
      </c>
      <c r="AO36" s="77">
        <f t="shared" si="6"/>
        <v>-2120.8483924774073</v>
      </c>
      <c r="AP36" s="77">
        <f t="shared" si="6"/>
        <v>-2120.474037758253</v>
      </c>
      <c r="AQ36" s="77">
        <f t="shared" si="6"/>
        <v>-2121.4650645479187</v>
      </c>
      <c r="AR36" s="77">
        <f t="shared" si="6"/>
        <v>-2805.3474779874705</v>
      </c>
      <c r="AS36" s="77">
        <f t="shared" si="6"/>
        <v>-2116.9179751395041</v>
      </c>
      <c r="AT36" s="77">
        <f t="shared" si="6"/>
        <v>-2116.9179751395041</v>
      </c>
      <c r="AU36" s="77">
        <f t="shared" si="6"/>
        <v>-4234.5554021779781</v>
      </c>
      <c r="AV36" s="77">
        <f>SUM(AJ36:AU36)</f>
        <v>-27212.349412339343</v>
      </c>
      <c r="AW36" s="38">
        <v>6</v>
      </c>
      <c r="AX36" s="66" t="str">
        <f>Res!AX36</f>
        <v>Total Energy Efficiency Revenues</v>
      </c>
      <c r="AY36" s="76"/>
      <c r="AZ36" s="77">
        <f t="shared" ref="AZ36:BK36" si="7">SUM(AZ30:AZ35)</f>
        <v>-3.7784532545727547</v>
      </c>
      <c r="BA36" s="77">
        <f t="shared" si="7"/>
        <v>-2264.2969601755349</v>
      </c>
      <c r="BB36" s="77">
        <f t="shared" si="7"/>
        <v>-2394.4428142015904</v>
      </c>
      <c r="BC36" s="77">
        <f t="shared" si="7"/>
        <v>-2264.2969601755349</v>
      </c>
      <c r="BD36" s="77">
        <f t="shared" si="7"/>
        <v>-2264.2969601755349</v>
      </c>
      <c r="BE36" s="77">
        <f t="shared" si="7"/>
        <v>-2394.4428142015904</v>
      </c>
      <c r="BF36" s="77">
        <f t="shared" si="7"/>
        <v>-2264.2969601755349</v>
      </c>
      <c r="BG36" s="77">
        <f t="shared" si="7"/>
        <v>-2264.2969601755349</v>
      </c>
      <c r="BH36" s="77">
        <f t="shared" si="7"/>
        <v>-2394.4428142015904</v>
      </c>
      <c r="BI36" s="77">
        <f t="shared" si="7"/>
        <v>-2264.2969601755349</v>
      </c>
      <c r="BJ36" s="77">
        <f t="shared" si="7"/>
        <v>-2264.2969601755349</v>
      </c>
      <c r="BK36" s="77">
        <f t="shared" si="7"/>
        <v>-4654.9613211225515</v>
      </c>
      <c r="BL36" s="77">
        <f t="shared" si="2"/>
        <v>-27692.146938210641</v>
      </c>
    </row>
    <row r="37" spans="1:64" x14ac:dyDescent="0.2">
      <c r="A37" s="38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38"/>
      <c r="S37" s="76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38"/>
      <c r="AI37" s="76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38"/>
      <c r="AY37" s="76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</row>
    <row r="38" spans="1:64" x14ac:dyDescent="0.2">
      <c r="A38" s="38"/>
      <c r="C38" s="76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38">
        <f>Res!Q38</f>
        <v>8</v>
      </c>
      <c r="R38" s="66" t="str">
        <f>Res!R38</f>
        <v>Energy Efficiency Expenditures - PA Models</v>
      </c>
      <c r="S38" s="76"/>
      <c r="T38" s="77">
        <f t="shared" ref="T38:AE38" si="8">T40-T39</f>
        <v>73.312561400531919</v>
      </c>
      <c r="U38" s="77">
        <f t="shared" si="8"/>
        <v>1247.6960403605494</v>
      </c>
      <c r="V38" s="77">
        <f t="shared" si="8"/>
        <v>1946.1266468631227</v>
      </c>
      <c r="W38" s="77">
        <f t="shared" si="8"/>
        <v>2177.6053197782057</v>
      </c>
      <c r="X38" s="77">
        <f t="shared" si="8"/>
        <v>2453.4403934524039</v>
      </c>
      <c r="Y38" s="77">
        <f t="shared" si="8"/>
        <v>92.8521765594583</v>
      </c>
      <c r="Z38" s="77">
        <f t="shared" si="8"/>
        <v>2629.1052643123066</v>
      </c>
      <c r="AA38" s="77">
        <f t="shared" si="8"/>
        <v>2670.5320064135253</v>
      </c>
      <c r="AB38" s="77">
        <f t="shared" si="8"/>
        <v>1236.1978944247683</v>
      </c>
      <c r="AC38" s="77">
        <f t="shared" si="8"/>
        <v>2101.4567003275115</v>
      </c>
      <c r="AD38" s="77">
        <f t="shared" si="8"/>
        <v>2005.9394682996804</v>
      </c>
      <c r="AE38" s="77">
        <f t="shared" si="8"/>
        <v>4399.7675343544261</v>
      </c>
      <c r="AF38" s="77">
        <f>SUM(T38:AE38)</f>
        <v>23034.032006546488</v>
      </c>
      <c r="AG38" s="38">
        <f>Res!AG38</f>
        <v>7</v>
      </c>
      <c r="AH38" s="66" t="str">
        <f>Res!AH38</f>
        <v>Energy Efficiency Expenditures - PA Models</v>
      </c>
      <c r="AI38" s="76"/>
      <c r="AJ38" s="77">
        <f t="shared" ref="AJ38:AU38" si="9">AJ40-AJ39</f>
        <v>82.787024162438684</v>
      </c>
      <c r="AK38" s="77">
        <f t="shared" si="9"/>
        <v>96.493390533604938</v>
      </c>
      <c r="AL38" s="77">
        <f t="shared" si="9"/>
        <v>896.73373465125974</v>
      </c>
      <c r="AM38" s="77">
        <f t="shared" si="9"/>
        <v>1530.154015099796</v>
      </c>
      <c r="AN38" s="77">
        <f t="shared" si="9"/>
        <v>1523.1112892966075</v>
      </c>
      <c r="AO38" s="77">
        <f t="shared" si="9"/>
        <v>1389.6031060337189</v>
      </c>
      <c r="AP38" s="77">
        <f t="shared" si="9"/>
        <v>1249.6491515129837</v>
      </c>
      <c r="AQ38" s="77">
        <f t="shared" si="9"/>
        <v>1315.7792991401252</v>
      </c>
      <c r="AR38" s="77">
        <f t="shared" si="9"/>
        <v>1919.3977153719525</v>
      </c>
      <c r="AS38" s="77">
        <f t="shared" si="9"/>
        <v>5208.6159561686545</v>
      </c>
      <c r="AT38" s="77">
        <f t="shared" si="9"/>
        <v>5208.6159561686545</v>
      </c>
      <c r="AU38" s="77">
        <f t="shared" si="9"/>
        <v>5208.6159561686545</v>
      </c>
      <c r="AV38" s="77">
        <f>SUM(AJ38:AU38)</f>
        <v>25629.556594308451</v>
      </c>
      <c r="AW38" s="38">
        <f>Res!AW38</f>
        <v>7</v>
      </c>
      <c r="AX38" s="66" t="str">
        <f>Res!AX38</f>
        <v>Energy Efficiency Expenditures - PA Models</v>
      </c>
      <c r="AY38" s="76"/>
      <c r="AZ38" s="77">
        <f t="shared" ref="AZ38:BK38" si="10">AZ40-AZ39</f>
        <v>2384.1987697554141</v>
      </c>
      <c r="BA38" s="77">
        <f t="shared" si="10"/>
        <v>2384.1987697554141</v>
      </c>
      <c r="BB38" s="77">
        <f t="shared" si="10"/>
        <v>2384.1987697554141</v>
      </c>
      <c r="BC38" s="77">
        <f t="shared" si="10"/>
        <v>2384.1987697554141</v>
      </c>
      <c r="BD38" s="77">
        <f t="shared" si="10"/>
        <v>2384.1987697554141</v>
      </c>
      <c r="BE38" s="77">
        <f t="shared" si="10"/>
        <v>2384.1987697554141</v>
      </c>
      <c r="BF38" s="77">
        <f t="shared" si="10"/>
        <v>2384.1987697554141</v>
      </c>
      <c r="BG38" s="77">
        <f t="shared" si="10"/>
        <v>2384.1987697554141</v>
      </c>
      <c r="BH38" s="77">
        <f t="shared" si="10"/>
        <v>2384.1987697554141</v>
      </c>
      <c r="BI38" s="77">
        <f t="shared" si="10"/>
        <v>2384.1987697554141</v>
      </c>
      <c r="BJ38" s="77">
        <f t="shared" si="10"/>
        <v>2384.1987697554141</v>
      </c>
      <c r="BK38" s="77">
        <f t="shared" si="10"/>
        <v>2384.1987697554141</v>
      </c>
      <c r="BL38" s="77">
        <f>SUM(AZ38:BK38)</f>
        <v>28610.385237064969</v>
      </c>
    </row>
    <row r="39" spans="1:64" ht="15" x14ac:dyDescent="0.35">
      <c r="A39" s="38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38">
        <f>Res!Q39</f>
        <v>9</v>
      </c>
      <c r="R39" s="66" t="str">
        <f>Res!R39</f>
        <v>Energy Efficiency Expenditures - Electrification Pool</v>
      </c>
      <c r="S39" s="76"/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0</v>
      </c>
      <c r="Z39" s="78">
        <v>0</v>
      </c>
      <c r="AA39" s="78">
        <v>0</v>
      </c>
      <c r="AB39" s="78">
        <v>0</v>
      </c>
      <c r="AC39" s="78">
        <v>0</v>
      </c>
      <c r="AD39" s="78">
        <v>0</v>
      </c>
      <c r="AE39" s="78">
        <v>0</v>
      </c>
      <c r="AF39" s="78">
        <f>SUM(T39:AE39)</f>
        <v>0</v>
      </c>
      <c r="AG39" s="38">
        <f>Res!AG39</f>
        <v>8</v>
      </c>
      <c r="AH39" s="66" t="str">
        <f>Res!AH39</f>
        <v>Energy Efficiency Expenditures - Electrification Pool</v>
      </c>
      <c r="AI39" s="76"/>
      <c r="AJ39" s="78">
        <v>0</v>
      </c>
      <c r="AK39" s="78">
        <v>0</v>
      </c>
      <c r="AL39" s="78">
        <v>0</v>
      </c>
      <c r="AM39" s="78">
        <v>0</v>
      </c>
      <c r="AN39" s="78">
        <v>0</v>
      </c>
      <c r="AO39" s="78">
        <v>0</v>
      </c>
      <c r="AP39" s="78">
        <v>0</v>
      </c>
      <c r="AQ39" s="78">
        <v>0</v>
      </c>
      <c r="AR39" s="78">
        <v>0</v>
      </c>
      <c r="AS39" s="78">
        <v>0</v>
      </c>
      <c r="AT39" s="78">
        <v>0</v>
      </c>
      <c r="AU39" s="78">
        <v>0</v>
      </c>
      <c r="AV39" s="78">
        <f>SUM(AJ39:AU39)</f>
        <v>0</v>
      </c>
      <c r="AW39" s="38">
        <f>Res!AW39</f>
        <v>8</v>
      </c>
      <c r="AX39" s="66" t="str">
        <f>Res!AX39</f>
        <v>Energy Efficiency Expenditures - Electrification Pool</v>
      </c>
      <c r="AY39" s="76"/>
      <c r="AZ39" s="78">
        <v>0</v>
      </c>
      <c r="BA39" s="78">
        <v>0</v>
      </c>
      <c r="BB39" s="78">
        <v>0</v>
      </c>
      <c r="BC39" s="78">
        <v>0</v>
      </c>
      <c r="BD39" s="78">
        <v>0</v>
      </c>
      <c r="BE39" s="78">
        <v>0</v>
      </c>
      <c r="BF39" s="78">
        <v>0</v>
      </c>
      <c r="BG39" s="78">
        <v>0</v>
      </c>
      <c r="BH39" s="78">
        <v>0</v>
      </c>
      <c r="BI39" s="78">
        <v>0</v>
      </c>
      <c r="BJ39" s="78">
        <v>0</v>
      </c>
      <c r="BK39" s="78">
        <v>0</v>
      </c>
      <c r="BL39" s="78">
        <f>SUM(AZ39:BK39)</f>
        <v>0</v>
      </c>
    </row>
    <row r="40" spans="1:64" x14ac:dyDescent="0.2">
      <c r="A40" s="38">
        <f>Res!A40</f>
        <v>8</v>
      </c>
      <c r="B40" s="66" t="str">
        <f>Res!B40</f>
        <v>Total Energy Efficiency Expenses</v>
      </c>
      <c r="C40" s="76"/>
      <c r="D40" s="77">
        <v>6.2999880840954177</v>
      </c>
      <c r="E40" s="77">
        <v>450.45012138134916</v>
      </c>
      <c r="F40" s="77">
        <v>2215.5228708670834</v>
      </c>
      <c r="G40" s="77">
        <v>885.00651164947942</v>
      </c>
      <c r="H40" s="77">
        <v>1834.5809247190221</v>
      </c>
      <c r="I40" s="77">
        <v>888.73667226703049</v>
      </c>
      <c r="J40" s="77">
        <v>3038.7620781618211</v>
      </c>
      <c r="K40" s="77">
        <v>177.25234446746151</v>
      </c>
      <c r="L40" s="77">
        <v>234.96052444174563</v>
      </c>
      <c r="M40" s="77">
        <v>2891.2733687613427</v>
      </c>
      <c r="N40" s="77">
        <v>2311.5710947843995</v>
      </c>
      <c r="O40" s="77">
        <v>3575.4207642550409</v>
      </c>
      <c r="P40" s="77">
        <f>SUM(D40:O40)</f>
        <v>18509.837263839869</v>
      </c>
      <c r="Q40" s="38">
        <f>Res!Q40</f>
        <v>10</v>
      </c>
      <c r="R40" s="66" t="str">
        <f>Res!R40</f>
        <v>Total Energy Efficiency Expenses</v>
      </c>
      <c r="S40" s="76"/>
      <c r="T40" s="77">
        <v>73.312561400531919</v>
      </c>
      <c r="U40" s="77">
        <v>1247.6960403605494</v>
      </c>
      <c r="V40" s="77">
        <v>1946.1266468631227</v>
      </c>
      <c r="W40" s="77">
        <v>2177.6053197782057</v>
      </c>
      <c r="X40" s="77">
        <v>2453.4403934524039</v>
      </c>
      <c r="Y40" s="77">
        <v>92.8521765594583</v>
      </c>
      <c r="Z40" s="77">
        <v>2629.1052643123066</v>
      </c>
      <c r="AA40" s="77">
        <v>2670.5320064135253</v>
      </c>
      <c r="AB40" s="77">
        <v>1236.1978944247683</v>
      </c>
      <c r="AC40" s="77">
        <v>2101.4567003275115</v>
      </c>
      <c r="AD40" s="77">
        <v>2005.9394682996804</v>
      </c>
      <c r="AE40" s="77">
        <v>4399.7675343544261</v>
      </c>
      <c r="AF40" s="77">
        <f>SUM(T40:AE40)</f>
        <v>23034.032006546488</v>
      </c>
      <c r="AG40" s="38">
        <f>Res!AG40</f>
        <v>9</v>
      </c>
      <c r="AH40" s="66" t="str">
        <f>Res!AH40</f>
        <v>Total Energy Efficiency Expenses</v>
      </c>
      <c r="AI40" s="76"/>
      <c r="AJ40" s="77">
        <v>82.787024162438684</v>
      </c>
      <c r="AK40" s="77">
        <v>96.493390533604938</v>
      </c>
      <c r="AL40" s="77">
        <v>896.73373465125974</v>
      </c>
      <c r="AM40" s="77">
        <v>1530.154015099796</v>
      </c>
      <c r="AN40" s="77">
        <v>1523.1112892966075</v>
      </c>
      <c r="AO40" s="77">
        <v>1389.6031060337189</v>
      </c>
      <c r="AP40" s="77">
        <v>1249.6491515129837</v>
      </c>
      <c r="AQ40" s="77">
        <v>1315.7792991401252</v>
      </c>
      <c r="AR40" s="77">
        <v>1919.3977153719525</v>
      </c>
      <c r="AS40" s="77">
        <v>5208.6159561686545</v>
      </c>
      <c r="AT40" s="77">
        <v>5208.6159561686545</v>
      </c>
      <c r="AU40" s="77">
        <v>5208.6159561686545</v>
      </c>
      <c r="AV40" s="77">
        <f>SUM(AJ40:AU40)</f>
        <v>25629.556594308451</v>
      </c>
      <c r="AW40" s="38">
        <f>Res!AW40</f>
        <v>9</v>
      </c>
      <c r="AX40" s="66" t="str">
        <f>Res!AX40</f>
        <v>Total Energy Efficiency Expenses</v>
      </c>
      <c r="AY40" s="76"/>
      <c r="AZ40" s="77">
        <v>2384.1987697554141</v>
      </c>
      <c r="BA40" s="77">
        <v>2384.1987697554141</v>
      </c>
      <c r="BB40" s="77">
        <v>2384.1987697554141</v>
      </c>
      <c r="BC40" s="77">
        <v>2384.1987697554141</v>
      </c>
      <c r="BD40" s="77">
        <v>2384.1987697554141</v>
      </c>
      <c r="BE40" s="77">
        <v>2384.1987697554141</v>
      </c>
      <c r="BF40" s="77">
        <v>2384.1987697554141</v>
      </c>
      <c r="BG40" s="77">
        <v>2384.1987697554141</v>
      </c>
      <c r="BH40" s="77">
        <v>2384.1987697554141</v>
      </c>
      <c r="BI40" s="77">
        <v>2384.1987697554141</v>
      </c>
      <c r="BJ40" s="77">
        <v>2384.1987697554141</v>
      </c>
      <c r="BK40" s="77">
        <v>2384.1987697554141</v>
      </c>
      <c r="BL40" s="77">
        <f>SUM(AZ40:BK40)</f>
        <v>28610.385237064969</v>
      </c>
    </row>
    <row r="41" spans="1:64" x14ac:dyDescent="0.2">
      <c r="A41" s="38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38"/>
      <c r="S41" s="76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38"/>
      <c r="AI41" s="76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38"/>
      <c r="AY41" s="76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</row>
    <row r="42" spans="1:64" ht="15" x14ac:dyDescent="0.35">
      <c r="A42" s="38">
        <f>Res!A42</f>
        <v>9</v>
      </c>
      <c r="B42" s="66" t="str">
        <f>Res!B42</f>
        <v>Deferral (Over)/Under Recovery</v>
      </c>
      <c r="C42" s="77"/>
      <c r="D42" s="77">
        <f t="shared" ref="D42:O42" si="11">D36+D40</f>
        <v>-58.885737521106179</v>
      </c>
      <c r="E42" s="77">
        <f t="shared" si="11"/>
        <v>626.64911608795273</v>
      </c>
      <c r="F42" s="77">
        <f t="shared" si="11"/>
        <v>2391.3379871648913</v>
      </c>
      <c r="G42" s="77">
        <f t="shared" si="11"/>
        <v>980.86088455366041</v>
      </c>
      <c r="H42" s="77">
        <f t="shared" si="11"/>
        <v>2011.0843596119444</v>
      </c>
      <c r="I42" s="77">
        <f t="shared" si="11"/>
        <v>948.73389264319121</v>
      </c>
      <c r="J42" s="77">
        <f t="shared" si="11"/>
        <v>3210.3834792277071</v>
      </c>
      <c r="K42" s="77">
        <f t="shared" si="11"/>
        <v>-1407.1731942978754</v>
      </c>
      <c r="L42" s="77">
        <f t="shared" si="11"/>
        <v>-5763.5192737084435</v>
      </c>
      <c r="M42" s="77">
        <f t="shared" si="11"/>
        <v>1347.2889896944</v>
      </c>
      <c r="N42" s="77">
        <f t="shared" si="11"/>
        <v>-860.35415719916818</v>
      </c>
      <c r="O42" s="77">
        <f t="shared" si="11"/>
        <v>-1980.4256718377246</v>
      </c>
      <c r="P42" s="78"/>
      <c r="Q42" s="38">
        <f>Res!Q42</f>
        <v>11</v>
      </c>
      <c r="R42" s="66" t="str">
        <f>Res!R42</f>
        <v>Deferral (Over)/Under Recovery</v>
      </c>
      <c r="S42" s="77"/>
      <c r="T42" s="77">
        <f t="shared" ref="T42:AE42" si="12">T36+T40</f>
        <v>67.021312823713558</v>
      </c>
      <c r="U42" s="77">
        <f t="shared" si="12"/>
        <v>-1171.747292676107</v>
      </c>
      <c r="V42" s="77">
        <f t="shared" si="12"/>
        <v>-438.23240239662778</v>
      </c>
      <c r="W42" s="77">
        <f t="shared" si="12"/>
        <v>29.355371246108461</v>
      </c>
      <c r="X42" s="77">
        <f t="shared" si="12"/>
        <v>119.4169237177457</v>
      </c>
      <c r="Y42" s="77">
        <f t="shared" si="12"/>
        <v>-2054.3158533010183</v>
      </c>
      <c r="Z42" s="77">
        <f t="shared" si="12"/>
        <v>485.23941351056601</v>
      </c>
      <c r="AA42" s="77">
        <f t="shared" si="12"/>
        <v>208.70106144398096</v>
      </c>
      <c r="AB42" s="77">
        <f t="shared" si="12"/>
        <v>-1224.1054395950289</v>
      </c>
      <c r="AC42" s="77">
        <f t="shared" si="12"/>
        <v>-682.64327880034125</v>
      </c>
      <c r="AD42" s="77">
        <f t="shared" si="12"/>
        <v>-456.64777776163373</v>
      </c>
      <c r="AE42" s="77">
        <f t="shared" si="12"/>
        <v>1156.4454024370184</v>
      </c>
      <c r="AF42" s="78"/>
      <c r="AG42" s="38">
        <f>Res!AG42</f>
        <v>10</v>
      </c>
      <c r="AH42" s="66" t="str">
        <f>Res!AH42</f>
        <v>Deferral (Over)/Under Recovery</v>
      </c>
      <c r="AI42" s="77"/>
      <c r="AJ42" s="77">
        <f t="shared" ref="AJ42:AU42" si="13">AJ36+AJ40</f>
        <v>77.077406904223139</v>
      </c>
      <c r="AK42" s="77">
        <f t="shared" si="13"/>
        <v>-2027.9451749246107</v>
      </c>
      <c r="AL42" s="77">
        <f t="shared" si="13"/>
        <v>-1612.1221290473461</v>
      </c>
      <c r="AM42" s="77">
        <f t="shared" si="13"/>
        <v>-589.92176482807668</v>
      </c>
      <c r="AN42" s="77">
        <f t="shared" si="13"/>
        <v>-1293.6319714717852</v>
      </c>
      <c r="AO42" s="77">
        <f t="shared" si="13"/>
        <v>-731.24528644368843</v>
      </c>
      <c r="AP42" s="77">
        <f t="shared" si="13"/>
        <v>-870.82488624526923</v>
      </c>
      <c r="AQ42" s="77">
        <f t="shared" si="13"/>
        <v>-805.6857654077935</v>
      </c>
      <c r="AR42" s="77">
        <f t="shared" si="13"/>
        <v>-885.94976261551801</v>
      </c>
      <c r="AS42" s="77">
        <f t="shared" si="13"/>
        <v>3091.6979810291505</v>
      </c>
      <c r="AT42" s="77">
        <f t="shared" si="13"/>
        <v>3091.6979810291505</v>
      </c>
      <c r="AU42" s="77">
        <f t="shared" si="13"/>
        <v>974.06055399067645</v>
      </c>
      <c r="AV42" s="78"/>
      <c r="AW42" s="38">
        <f>Res!AW42</f>
        <v>10</v>
      </c>
      <c r="AX42" s="66" t="str">
        <f>Res!AX42</f>
        <v>Deferral (Over)/Under Recovery</v>
      </c>
      <c r="AY42" s="77"/>
      <c r="AZ42" s="77">
        <f t="shared" ref="AZ42:BK42" si="14">AZ36+AZ40</f>
        <v>2380.4203165008412</v>
      </c>
      <c r="BA42" s="77">
        <f t="shared" si="14"/>
        <v>119.90180957987923</v>
      </c>
      <c r="BB42" s="77">
        <f t="shared" si="14"/>
        <v>-10.244044446176304</v>
      </c>
      <c r="BC42" s="77">
        <f t="shared" si="14"/>
        <v>119.90180957987923</v>
      </c>
      <c r="BD42" s="77">
        <f t="shared" si="14"/>
        <v>119.90180957987923</v>
      </c>
      <c r="BE42" s="77">
        <f t="shared" si="14"/>
        <v>-10.244044446176304</v>
      </c>
      <c r="BF42" s="77">
        <f t="shared" si="14"/>
        <v>119.90180957987923</v>
      </c>
      <c r="BG42" s="77">
        <f t="shared" si="14"/>
        <v>119.90180957987923</v>
      </c>
      <c r="BH42" s="77">
        <f t="shared" si="14"/>
        <v>-10.244044446176304</v>
      </c>
      <c r="BI42" s="77">
        <f t="shared" si="14"/>
        <v>119.90180957987923</v>
      </c>
      <c r="BJ42" s="77">
        <f t="shared" si="14"/>
        <v>119.90180957987923</v>
      </c>
      <c r="BK42" s="77">
        <f t="shared" si="14"/>
        <v>-2270.7625513671373</v>
      </c>
      <c r="BL42" s="78"/>
    </row>
    <row r="43" spans="1:64" ht="15" x14ac:dyDescent="0.35">
      <c r="A43" s="38">
        <f>Res!A43</f>
        <v>10</v>
      </c>
      <c r="B43" s="66" t="str">
        <f>Res!B43</f>
        <v>Interest on Deferral Balance</v>
      </c>
      <c r="C43" s="76"/>
      <c r="D43" s="78">
        <v>-10.857912000000001</v>
      </c>
      <c r="E43" s="78">
        <v>-7.927365</v>
      </c>
      <c r="F43" s="78">
        <v>-7.4314679999999997</v>
      </c>
      <c r="G43" s="78">
        <v>-6.2761630000000004</v>
      </c>
      <c r="H43" s="78">
        <v>-6.3651110000000006</v>
      </c>
      <c r="I43" s="78">
        <v>-6.0541480000000005</v>
      </c>
      <c r="J43" s="78">
        <v>-4.3472819999999999</v>
      </c>
      <c r="K43" s="78">
        <v>-3.4504680000000003</v>
      </c>
      <c r="L43" s="78">
        <v>-3.9737770000000006</v>
      </c>
      <c r="M43" s="78">
        <v>-3.9585240000000006</v>
      </c>
      <c r="N43" s="78">
        <v>-3.5754320000000006</v>
      </c>
      <c r="O43" s="78">
        <v>-2.4508550000000002</v>
      </c>
      <c r="P43" s="78">
        <f>SUM(D43:O43)</f>
        <v>-66.66850500000001</v>
      </c>
      <c r="Q43" s="38">
        <f>Res!Q43</f>
        <v>12</v>
      </c>
      <c r="R43" s="66" t="str">
        <f>Res!R43</f>
        <v>Interest on Deferral Balance</v>
      </c>
      <c r="S43" s="76"/>
      <c r="T43" s="78">
        <v>-7.9139119999999998</v>
      </c>
      <c r="U43" s="78">
        <v>-4.2490360000000003</v>
      </c>
      <c r="V43" s="78">
        <v>-5.3743739999999995</v>
      </c>
      <c r="W43" s="78">
        <v>-5.891852000000001</v>
      </c>
      <c r="X43" s="78">
        <v>-6.6291090000000006</v>
      </c>
      <c r="Y43" s="78">
        <v>-7.190518</v>
      </c>
      <c r="Z43" s="78">
        <v>-8.3754299999999997</v>
      </c>
      <c r="AA43" s="78">
        <v>-8.4258780000000009</v>
      </c>
      <c r="AB43" s="78">
        <v>-7.9388560000000012</v>
      </c>
      <c r="AC43" s="78">
        <v>-9.1045850000000002</v>
      </c>
      <c r="AD43" s="78">
        <v>-9.111025999999999</v>
      </c>
      <c r="AE43" s="78">
        <v>-9.1579130000000006</v>
      </c>
      <c r="AF43" s="78">
        <f>SUM(T43:AE43)</f>
        <v>-89.362489000000011</v>
      </c>
      <c r="AG43" s="38">
        <f>Res!AG43</f>
        <v>11</v>
      </c>
      <c r="AH43" s="66" t="str">
        <f>Res!AH43</f>
        <v>Interest on Deferral Balance</v>
      </c>
      <c r="AI43" s="76"/>
      <c r="AJ43" s="78">
        <v>-9.1955600000000022</v>
      </c>
      <c r="AK43" s="78">
        <v>-8.1887530000000002</v>
      </c>
      <c r="AL43" s="78">
        <v>-8.6933220000000002</v>
      </c>
      <c r="AM43" s="78">
        <v>-8.5389339999999994</v>
      </c>
      <c r="AN43" s="78">
        <v>-9.0718589999999999</v>
      </c>
      <c r="AO43" s="78">
        <v>-10.909747000000001</v>
      </c>
      <c r="AP43" s="78">
        <v>-11.88625</v>
      </c>
      <c r="AQ43" s="78">
        <v>-12.514709</v>
      </c>
      <c r="AR43" s="78">
        <v>-11.316781000000001</v>
      </c>
      <c r="AS43" s="78">
        <f>IF(AS27="Planned",(AR44+AS42/2)*AS45/12,"Update to Actuals")</f>
        <v>-16.867676660518487</v>
      </c>
      <c r="AT43" s="78">
        <f>IF(AT27="Planned",(AS44+AT42/2)*AT45/12,"Update to Actuals")</f>
        <v>-8.9499886267692599</v>
      </c>
      <c r="AU43" s="78">
        <f>IF(AU27="Planned",(AT44+AU42/2)*AU45/12,"Update to Actuals")</f>
        <v>-3.7383707336451639</v>
      </c>
      <c r="AV43" s="78">
        <f>SUM(AJ43:AU43)</f>
        <v>-119.87195102093291</v>
      </c>
      <c r="AW43" s="38">
        <f>Res!AW43</f>
        <v>11</v>
      </c>
      <c r="AX43" s="66" t="str">
        <f>Res!AX43</f>
        <v>Interest on Deferral Balance</v>
      </c>
      <c r="AY43" s="76"/>
      <c r="AZ43" s="78">
        <f t="shared" ref="AZ43:BK43" si="15">IF(AZ27="Planned",(AY44+AZ42/2)*AZ45/12,"Update to Actuals")</f>
        <v>0.57089708247352899</v>
      </c>
      <c r="BA43" s="78">
        <f t="shared" si="15"/>
        <v>3.7915318797898259</v>
      </c>
      <c r="BB43" s="78">
        <f t="shared" si="15"/>
        <v>3.9424794469899269</v>
      </c>
      <c r="BC43" s="78">
        <f t="shared" si="15"/>
        <v>4.0938157041755687</v>
      </c>
      <c r="BD43" s="78">
        <f t="shared" si="15"/>
        <v>4.4131044392820096</v>
      </c>
      <c r="BE43" s="78">
        <f t="shared" si="15"/>
        <v>4.5656525558228038</v>
      </c>
      <c r="BF43" s="78">
        <f t="shared" si="15"/>
        <v>4.7185934837636898</v>
      </c>
      <c r="BG43" s="78">
        <f t="shared" si="15"/>
        <v>5.0394910216525703</v>
      </c>
      <c r="BH43" s="78">
        <f t="shared" si="15"/>
        <v>5.1936520836429683</v>
      </c>
      <c r="BI43" s="78">
        <f t="shared" si="15"/>
        <v>5.3482101103679911</v>
      </c>
      <c r="BJ43" s="78">
        <f t="shared" si="15"/>
        <v>5.6707289110703778</v>
      </c>
      <c r="BK43" s="78">
        <f t="shared" si="15"/>
        <v>2.9160978329652902</v>
      </c>
      <c r="BL43" s="78">
        <f>SUM(AZ43:BK43)</f>
        <v>50.264254551996558</v>
      </c>
    </row>
    <row r="44" spans="1:64" ht="15" x14ac:dyDescent="0.35">
      <c r="A44" s="38">
        <f>Res!A44</f>
        <v>11</v>
      </c>
      <c r="B44" s="66" t="str">
        <f>Res!B44</f>
        <v>(Over)/Under Ending Balance</v>
      </c>
      <c r="C44" s="79">
        <v>3405.7250945776818</v>
      </c>
      <c r="D44" s="79">
        <f t="shared" ref="D44:O44" si="16">C44+D42+D43</f>
        <v>3335.9814450565759</v>
      </c>
      <c r="E44" s="79">
        <f t="shared" si="16"/>
        <v>3954.7031961445286</v>
      </c>
      <c r="F44" s="79">
        <f t="shared" si="16"/>
        <v>6338.6097153094206</v>
      </c>
      <c r="G44" s="79">
        <f t="shared" si="16"/>
        <v>7313.1944368630802</v>
      </c>
      <c r="H44" s="79">
        <f t="shared" si="16"/>
        <v>9317.913685475025</v>
      </c>
      <c r="I44" s="79">
        <f t="shared" si="16"/>
        <v>10260.593430118217</v>
      </c>
      <c r="J44" s="79">
        <f t="shared" si="16"/>
        <v>13466.629627345923</v>
      </c>
      <c r="K44" s="79">
        <f t="shared" si="16"/>
        <v>12056.005965048047</v>
      </c>
      <c r="L44" s="79">
        <f t="shared" si="16"/>
        <v>6288.5129143396034</v>
      </c>
      <c r="M44" s="79">
        <f t="shared" si="16"/>
        <v>7631.8433800340035</v>
      </c>
      <c r="N44" s="79">
        <f t="shared" si="16"/>
        <v>6767.9137908348357</v>
      </c>
      <c r="O44" s="79">
        <f t="shared" si="16"/>
        <v>4785.037263997111</v>
      </c>
      <c r="P44" s="79"/>
      <c r="Q44" s="38">
        <f>Res!Q44</f>
        <v>13</v>
      </c>
      <c r="R44" s="66" t="str">
        <f>Res!R44</f>
        <v>(Over)/Under Ending Balance</v>
      </c>
      <c r="S44" s="79">
        <f>O44</f>
        <v>4785.037263997111</v>
      </c>
      <c r="T44" s="79">
        <f t="shared" ref="T44:AD44" si="17">S44+T42+T43</f>
        <v>4844.1446648208248</v>
      </c>
      <c r="U44" s="79">
        <f t="shared" si="17"/>
        <v>3668.1483361447176</v>
      </c>
      <c r="V44" s="79">
        <f t="shared" si="17"/>
        <v>3224.5415597480896</v>
      </c>
      <c r="W44" s="79">
        <f t="shared" si="17"/>
        <v>3248.0050789941979</v>
      </c>
      <c r="X44" s="79">
        <f t="shared" si="17"/>
        <v>3360.7928937119436</v>
      </c>
      <c r="Y44" s="79">
        <f t="shared" si="17"/>
        <v>1299.2865224109253</v>
      </c>
      <c r="Z44" s="79">
        <f t="shared" si="17"/>
        <v>1776.1505059214912</v>
      </c>
      <c r="AA44" s="79">
        <f t="shared" si="17"/>
        <v>1976.4256893654722</v>
      </c>
      <c r="AB44" s="79">
        <f t="shared" si="17"/>
        <v>744.38139377044331</v>
      </c>
      <c r="AC44" s="79">
        <f t="shared" si="17"/>
        <v>52.63352997010206</v>
      </c>
      <c r="AD44" s="79">
        <f t="shared" si="17"/>
        <v>-413.12527379153164</v>
      </c>
      <c r="AE44" s="79">
        <f>AD44+AE42+AE43</f>
        <v>734.16221564548675</v>
      </c>
      <c r="AF44" s="79"/>
      <c r="AG44" s="38">
        <f>Res!AG44</f>
        <v>12</v>
      </c>
      <c r="AH44" s="66" t="str">
        <f>Res!AH44</f>
        <v>(Over)/Under Ending Balance</v>
      </c>
      <c r="AI44" s="79">
        <f>AE44</f>
        <v>734.16221564548675</v>
      </c>
      <c r="AJ44" s="79">
        <f t="shared" ref="AJ44:AU44" si="18">AI44+AJ42+AJ43</f>
        <v>802.04406254970991</v>
      </c>
      <c r="AK44" s="79">
        <f t="shared" si="18"/>
        <v>-1234.0898653749007</v>
      </c>
      <c r="AL44" s="79">
        <f t="shared" si="18"/>
        <v>-2854.9053164222469</v>
      </c>
      <c r="AM44" s="79">
        <f t="shared" si="18"/>
        <v>-3453.3660152503235</v>
      </c>
      <c r="AN44" s="79">
        <f t="shared" si="18"/>
        <v>-4756.0698457221079</v>
      </c>
      <c r="AO44" s="79">
        <f t="shared" si="18"/>
        <v>-5498.2248791657958</v>
      </c>
      <c r="AP44" s="79">
        <f t="shared" si="18"/>
        <v>-6380.9360154110645</v>
      </c>
      <c r="AQ44" s="79">
        <f t="shared" si="18"/>
        <v>-7199.1364898188576</v>
      </c>
      <c r="AR44" s="79">
        <f t="shared" si="18"/>
        <v>-8096.4030334343761</v>
      </c>
      <c r="AS44" s="79">
        <f>AR44+AS42+AS43</f>
        <v>-5021.5727290657442</v>
      </c>
      <c r="AT44" s="79">
        <f>AS44+AT42+AT43</f>
        <v>-1938.824736663363</v>
      </c>
      <c r="AU44" s="79">
        <f t="shared" si="18"/>
        <v>-968.50255340633169</v>
      </c>
      <c r="AV44" s="79"/>
      <c r="AW44" s="38">
        <f>Res!AW44</f>
        <v>12</v>
      </c>
      <c r="AX44" s="66" t="str">
        <f>Res!AX44</f>
        <v>(Over)/Under Ending Balance</v>
      </c>
      <c r="AY44" s="79">
        <f>AU44</f>
        <v>-968.50255340633169</v>
      </c>
      <c r="AZ44" s="79">
        <f t="shared" ref="AZ44:BK44" si="19">AY44+AZ42+AZ43</f>
        <v>1412.4886601769831</v>
      </c>
      <c r="BA44" s="79">
        <f t="shared" si="19"/>
        <v>1536.1820016366521</v>
      </c>
      <c r="BB44" s="79">
        <f t="shared" si="19"/>
        <v>1529.8804366374657</v>
      </c>
      <c r="BC44" s="79">
        <f t="shared" si="19"/>
        <v>1653.8760619215204</v>
      </c>
      <c r="BD44" s="79">
        <f t="shared" si="19"/>
        <v>1778.1909759406817</v>
      </c>
      <c r="BE44" s="79">
        <f t="shared" si="19"/>
        <v>1772.5125840503283</v>
      </c>
      <c r="BF44" s="79">
        <f t="shared" si="19"/>
        <v>1897.1329871139712</v>
      </c>
      <c r="BG44" s="79">
        <f t="shared" si="19"/>
        <v>2022.074287715503</v>
      </c>
      <c r="BH44" s="79">
        <f t="shared" si="19"/>
        <v>2017.0238953529697</v>
      </c>
      <c r="BI44" s="79">
        <f t="shared" si="19"/>
        <v>2142.2739150432171</v>
      </c>
      <c r="BJ44" s="79">
        <f t="shared" si="19"/>
        <v>2267.8464535341668</v>
      </c>
      <c r="BK44" s="79">
        <f t="shared" si="19"/>
        <v>-5.2455817467489396E-12</v>
      </c>
      <c r="BL44" s="79"/>
    </row>
    <row r="45" spans="1:64" x14ac:dyDescent="0.2">
      <c r="A45" s="38">
        <f>Res!A45</f>
        <v>12</v>
      </c>
      <c r="B45" s="66" t="str">
        <f>Res!B45</f>
        <v>Interest Rate Applied to Deferral Balance</v>
      </c>
      <c r="C45" s="80"/>
      <c r="D45" s="81">
        <f>Res!D45</f>
        <v>4.2900000000000001E-2</v>
      </c>
      <c r="E45" s="81">
        <f>Res!E45</f>
        <v>4.3299999999999998E-2</v>
      </c>
      <c r="F45" s="81">
        <f>Res!F45</f>
        <v>4.2500000000000003E-2</v>
      </c>
      <c r="G45" s="81">
        <f>Res!G45</f>
        <v>4.24E-2</v>
      </c>
      <c r="H45" s="81">
        <f>Res!H45</f>
        <v>4.0800000000000003E-2</v>
      </c>
      <c r="I45" s="81">
        <f>Res!I45</f>
        <v>4.53E-2</v>
      </c>
      <c r="J45" s="81">
        <f>Res!J45</f>
        <v>4.41E-2</v>
      </c>
      <c r="K45" s="81">
        <f>Res!K45</f>
        <v>3.9199999999999999E-2</v>
      </c>
      <c r="L45" s="81">
        <f>Res!L45</f>
        <v>4.2200000000000001E-2</v>
      </c>
      <c r="M45" s="81">
        <f>Res!M45</f>
        <v>4.1399999999999999E-2</v>
      </c>
      <c r="N45" s="81">
        <f>Res!N45</f>
        <v>3.78E-2</v>
      </c>
      <c r="O45" s="81">
        <f>Res!O45</f>
        <v>4.1300000000000003E-2</v>
      </c>
      <c r="P45" s="82"/>
      <c r="Q45" s="38">
        <f>Res!Q45</f>
        <v>14</v>
      </c>
      <c r="R45" s="66" t="str">
        <f>Res!R45</f>
        <v>Interest Rate Applied to Deferral Balance</v>
      </c>
      <c r="S45" s="80"/>
      <c r="T45" s="81">
        <f>Res!T45</f>
        <v>3.9600000000000003E-2</v>
      </c>
      <c r="U45" s="81">
        <f>Res!U45</f>
        <v>2.9600000000000001E-2</v>
      </c>
      <c r="V45" s="81">
        <f>Res!V45</f>
        <v>3.8100000000000002E-2</v>
      </c>
      <c r="W45" s="81">
        <f>Res!W45</f>
        <v>3.7199999999999997E-2</v>
      </c>
      <c r="X45" s="81">
        <f>Res!X45</f>
        <v>3.5700000000000003E-2</v>
      </c>
      <c r="Y45" s="81">
        <f>Res!Y45</f>
        <v>3.7100000000000001E-2</v>
      </c>
      <c r="Z45" s="81">
        <f>Res!Z45</f>
        <v>3.5200000000000002E-2</v>
      </c>
      <c r="AA45" s="81">
        <f>Res!AA45</f>
        <v>3.4099999999999998E-2</v>
      </c>
      <c r="AB45" s="81">
        <f>Res!AB45</f>
        <v>3.61E-2</v>
      </c>
      <c r="AC45" s="81">
        <f>Res!AC45</f>
        <v>3.2800000000000003E-2</v>
      </c>
      <c r="AD45" s="81">
        <f>Res!AD45</f>
        <v>3.6200000000000003E-2</v>
      </c>
      <c r="AE45" s="81">
        <f>Res!AE45</f>
        <v>3.2899999999999999E-2</v>
      </c>
      <c r="AF45" s="82"/>
      <c r="AG45" s="38">
        <f>Res!AG45</f>
        <v>13</v>
      </c>
      <c r="AH45" s="66" t="str">
        <f>Res!AH45</f>
        <v>Interest Rate Applied to Deferral Balance</v>
      </c>
      <c r="AI45" s="80"/>
      <c r="AJ45" s="81">
        <f>Res!AJ45</f>
        <v>3.1600000000000003E-2</v>
      </c>
      <c r="AK45" s="81">
        <f>Res!AK45</f>
        <v>3.2800000000000003E-2</v>
      </c>
      <c r="AL45" s="81">
        <f>Res!AL45</f>
        <v>3.2500000000000001E-2</v>
      </c>
      <c r="AM45" s="81">
        <f>Res!AM45</f>
        <v>3.1300000000000001E-2</v>
      </c>
      <c r="AN45" s="81">
        <f>Res!AN45</f>
        <v>3.0499999999999999E-2</v>
      </c>
      <c r="AO45" s="81">
        <f>Res!AO45</f>
        <v>3.09E-2</v>
      </c>
      <c r="AP45" s="81">
        <f>Res!AP45</f>
        <v>2.9100000000000001E-2</v>
      </c>
      <c r="AQ45" s="81">
        <f>Res!AQ45</f>
        <v>3.2800000000000003E-2</v>
      </c>
      <c r="AR45" s="81">
        <f>Res!AR45</f>
        <v>3.0800000000000001E-2</v>
      </c>
      <c r="AS45" s="81">
        <f>Res!AS45</f>
        <v>3.09E-2</v>
      </c>
      <c r="AT45" s="81">
        <f>Res!AT45</f>
        <v>3.09E-2</v>
      </c>
      <c r="AU45" s="81">
        <f>Res!AU45</f>
        <v>3.09E-2</v>
      </c>
      <c r="AV45" s="80"/>
      <c r="AW45" s="38">
        <f>Res!AW45</f>
        <v>13</v>
      </c>
      <c r="AX45" s="66" t="str">
        <f>Res!AX45</f>
        <v>Interest Rate Applied to Deferral Balance</v>
      </c>
      <c r="AY45" s="80"/>
      <c r="AZ45" s="81">
        <f>Res!AZ45</f>
        <v>3.09E-2</v>
      </c>
      <c r="BA45" s="81">
        <f>Res!BA45</f>
        <v>3.09E-2</v>
      </c>
      <c r="BB45" s="81">
        <f>Res!BB45</f>
        <v>3.09E-2</v>
      </c>
      <c r="BC45" s="81">
        <f>Res!BC45</f>
        <v>3.09E-2</v>
      </c>
      <c r="BD45" s="81">
        <f>Res!BD45</f>
        <v>3.09E-2</v>
      </c>
      <c r="BE45" s="81">
        <f>Res!BE45</f>
        <v>3.09E-2</v>
      </c>
      <c r="BF45" s="81">
        <f>Res!BF45</f>
        <v>3.09E-2</v>
      </c>
      <c r="BG45" s="81">
        <f>Res!BG45</f>
        <v>3.09E-2</v>
      </c>
      <c r="BH45" s="81">
        <f>Res!BH45</f>
        <v>3.09E-2</v>
      </c>
      <c r="BI45" s="81">
        <f>Res!BI45</f>
        <v>3.09E-2</v>
      </c>
      <c r="BJ45" s="81">
        <f>Res!BJ45</f>
        <v>3.09E-2</v>
      </c>
      <c r="BK45" s="81">
        <f>Res!BK45</f>
        <v>3.09E-2</v>
      </c>
      <c r="BL45" s="80"/>
    </row>
    <row r="46" spans="1:64" x14ac:dyDescent="0.2">
      <c r="A46" s="38"/>
      <c r="B46" s="83"/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2"/>
      <c r="Q46" s="38"/>
      <c r="R46" s="83"/>
      <c r="S46" s="82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2"/>
      <c r="AG46" s="38"/>
      <c r="AH46" s="83"/>
      <c r="AI46" s="82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2"/>
      <c r="AW46" s="38"/>
      <c r="AX46" s="83"/>
      <c r="AY46" s="82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2"/>
    </row>
    <row r="47" spans="1:64" s="83" customFormat="1" x14ac:dyDescent="0.2">
      <c r="A47" s="38"/>
      <c r="B47" s="12" t="str">
        <f>Res!B47</f>
        <v>*Sector portion of revenues are allocated based on forecasted 2024 kWh sales.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38"/>
      <c r="R47" s="12" t="str">
        <f>Res!R47</f>
        <v>*Sector portion of revenues are allocated based on forecasted 2025 kWh sales.</v>
      </c>
      <c r="S47" s="82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2"/>
      <c r="AG47" s="38"/>
      <c r="AH47" s="12" t="str">
        <f>Res!AH47</f>
        <v>*Sector portion of revenues are allocated based on forecasted 2026 kWh sales.</v>
      </c>
      <c r="AI47" s="82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2"/>
      <c r="AW47" s="38"/>
      <c r="AX47" s="12" t="str">
        <f>Res!AX47</f>
        <v>*Sector portion of revenues are allocated based on forecasted 2027 kWh sales.</v>
      </c>
      <c r="AY47" s="82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2"/>
    </row>
    <row r="48" spans="1:64" s="83" customFormat="1" x14ac:dyDescent="0.2">
      <c r="A48" s="38"/>
      <c r="B48" s="12" t="str">
        <f>Res!B48</f>
        <v>**Sector portion of revenues are allocated based on greenhouse gas reductions.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38"/>
      <c r="R48" s="12" t="str">
        <f>Res!R48</f>
        <v>**Sector portion of revenues are allocated based on greenhouse gas reductions.</v>
      </c>
      <c r="S48" s="82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2"/>
      <c r="AG48" s="38"/>
      <c r="AH48" s="12" t="str">
        <f>Res!AH48</f>
        <v>**Sector portion of revenues are allocated based on greenhouse gas reductions.</v>
      </c>
      <c r="AI48" s="82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2"/>
      <c r="AW48" s="38"/>
      <c r="AX48" s="12" t="str">
        <f>Res!AX48</f>
        <v>**Sector portion of revenues are allocated based on greenhouse gas reductions.</v>
      </c>
      <c r="AY48" s="82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2"/>
    </row>
    <row r="49" spans="1:64" s="83" customFormat="1" x14ac:dyDescent="0.2">
      <c r="A49" s="38"/>
      <c r="B49" s="12" t="str">
        <f>Res!B49</f>
        <v>***Other Revenue represents any RPS and APS credits associated with CVEO participants.</v>
      </c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2"/>
      <c r="Q49" s="38"/>
      <c r="R49" s="12" t="str">
        <f>Res!R49</f>
        <v>***Other Revenue represents any RPS and APS credits associated with CVEO participants.</v>
      </c>
      <c r="S49" s="82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2"/>
      <c r="AG49" s="38"/>
      <c r="AH49" s="12" t="s">
        <v>101</v>
      </c>
      <c r="AI49" s="82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2"/>
      <c r="AW49" s="38"/>
      <c r="AX49" s="12" t="str">
        <f>AH49</f>
        <v>***Other Revenue represents any RPS and APS credits associated with CVEO participants.</v>
      </c>
      <c r="AY49" s="82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2"/>
    </row>
    <row r="50" spans="1:64" s="83" customFormat="1" x14ac:dyDescent="0.2">
      <c r="A50" s="38"/>
      <c r="B50" s="46"/>
      <c r="C50" s="1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12"/>
      <c r="Q50" s="38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69"/>
      <c r="AG50" s="38"/>
      <c r="AI50" s="82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2"/>
      <c r="AW50" s="38"/>
      <c r="AY50" s="82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2"/>
    </row>
  </sheetData>
  <mergeCells count="16">
    <mergeCell ref="A25:P25"/>
    <mergeCell ref="Q25:AF25"/>
    <mergeCell ref="AG25:AV25"/>
    <mergeCell ref="AW25:BL25"/>
    <mergeCell ref="AG23:AV23"/>
    <mergeCell ref="AW23:BL23"/>
    <mergeCell ref="A24:P24"/>
    <mergeCell ref="Q24:AF24"/>
    <mergeCell ref="AG24:AV24"/>
    <mergeCell ref="AW24:BL24"/>
    <mergeCell ref="C1:J1"/>
    <mergeCell ref="C2:J2"/>
    <mergeCell ref="C3:J3"/>
    <mergeCell ref="R4:X4"/>
    <mergeCell ref="A23:P23"/>
    <mergeCell ref="Q23:AF23"/>
  </mergeCells>
  <pageMargins left="0.7" right="0.7" top="0.75" bottom="0.75" header="0.3" footer="0.3"/>
  <pageSetup scale="44" fitToWidth="5" orientation="landscape" r:id="rId1"/>
  <headerFooter>
    <oddHeader>&amp;R&amp;"Arial,Regular"&amp;10Cape Light Compact JPE
D.P.U. 26-146
Exhibit 2, EES Calculation
October 30, 2026
Page &amp;P of &amp;N</oddHeader>
  </headerFooter>
  <colBreaks count="3" manualBreakCount="3">
    <brk id="16" min="22" max="46" man="1"/>
    <brk id="32" min="22" max="46" man="1"/>
    <brk id="48" min="22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7110-D5E5-451A-A661-D194126543F1}">
  <sheetPr codeName="Sheet38"/>
  <dimension ref="A1:BO50"/>
  <sheetViews>
    <sheetView showGridLines="0" workbookViewId="0"/>
  </sheetViews>
  <sheetFormatPr defaultColWidth="9.140625" defaultRowHeight="12.75" x14ac:dyDescent="0.2"/>
  <cols>
    <col min="1" max="1" width="5.5703125" style="12" customWidth="1"/>
    <col min="2" max="2" width="46.28515625" style="12" customWidth="1"/>
    <col min="3" max="10" width="15" style="12" customWidth="1"/>
    <col min="11" max="11" width="16.28515625" style="12" customWidth="1"/>
    <col min="12" max="12" width="18.42578125" style="12" customWidth="1"/>
    <col min="13" max="13" width="18.5703125" style="12" customWidth="1"/>
    <col min="14" max="14" width="17" style="12" customWidth="1"/>
    <col min="15" max="15" width="15.5703125" style="12" customWidth="1"/>
    <col min="16" max="16" width="15" style="12" customWidth="1"/>
    <col min="17" max="17" width="5.5703125" style="12" customWidth="1"/>
    <col min="18" max="18" width="46.28515625" style="12" customWidth="1"/>
    <col min="19" max="26" width="15" style="12" customWidth="1"/>
    <col min="27" max="27" width="16.28515625" style="12" customWidth="1"/>
    <col min="28" max="28" width="18.42578125" style="12" customWidth="1"/>
    <col min="29" max="29" width="18.5703125" style="12" customWidth="1"/>
    <col min="30" max="30" width="17" style="12" customWidth="1"/>
    <col min="31" max="31" width="15.5703125" style="12" customWidth="1"/>
    <col min="32" max="32" width="15" style="12" customWidth="1"/>
    <col min="33" max="33" width="5.5703125" style="12" customWidth="1"/>
    <col min="34" max="34" width="46.28515625" style="12" customWidth="1"/>
    <col min="35" max="42" width="15" style="12" customWidth="1"/>
    <col min="43" max="43" width="16.28515625" style="12" customWidth="1"/>
    <col min="44" max="44" width="18.42578125" style="12" customWidth="1"/>
    <col min="45" max="45" width="18.5703125" style="12" customWidth="1"/>
    <col min="46" max="46" width="17" style="12" customWidth="1"/>
    <col min="47" max="47" width="15.5703125" style="12" customWidth="1"/>
    <col min="48" max="48" width="15" style="12" customWidth="1"/>
    <col min="49" max="49" width="5.5703125" style="12" customWidth="1"/>
    <col min="50" max="50" width="46.28515625" style="12" customWidth="1"/>
    <col min="51" max="58" width="15" style="12" customWidth="1"/>
    <col min="59" max="59" width="16.28515625" style="12" customWidth="1"/>
    <col min="60" max="60" width="18.42578125" style="12" customWidth="1"/>
    <col min="61" max="61" width="18.5703125" style="12" customWidth="1"/>
    <col min="62" max="62" width="17" style="12" customWidth="1"/>
    <col min="63" max="63" width="15.5703125" style="12" customWidth="1"/>
    <col min="64" max="64" width="15" style="12" customWidth="1"/>
    <col min="65" max="65" width="2.5703125" style="12" customWidth="1"/>
    <col min="66" max="16384" width="9.140625" style="12"/>
  </cols>
  <sheetData>
    <row r="1" spans="2:53" x14ac:dyDescent="0.2">
      <c r="C1" s="34" t="s">
        <v>0</v>
      </c>
      <c r="D1" s="34"/>
      <c r="E1" s="34"/>
      <c r="F1" s="34"/>
      <c r="G1" s="34"/>
      <c r="H1" s="34"/>
      <c r="I1" s="34"/>
      <c r="J1" s="34"/>
      <c r="K1" s="35"/>
      <c r="L1" s="35"/>
      <c r="M1" s="35"/>
      <c r="N1" s="35"/>
      <c r="O1" s="35"/>
    </row>
    <row r="2" spans="2:53" x14ac:dyDescent="0.2">
      <c r="C2" s="34" t="s">
        <v>120</v>
      </c>
      <c r="D2" s="34"/>
      <c r="E2" s="34"/>
      <c r="F2" s="34"/>
      <c r="G2" s="34"/>
      <c r="H2" s="34"/>
      <c r="I2" s="34"/>
      <c r="J2" s="34"/>
      <c r="K2" s="35"/>
      <c r="L2" s="35"/>
      <c r="M2" s="35"/>
      <c r="N2" s="35"/>
      <c r="O2" s="35"/>
    </row>
    <row r="3" spans="2:53" x14ac:dyDescent="0.2">
      <c r="C3" s="34" t="s">
        <v>1</v>
      </c>
      <c r="D3" s="34"/>
      <c r="E3" s="34"/>
      <c r="F3" s="34"/>
      <c r="G3" s="34"/>
      <c r="H3" s="34"/>
      <c r="I3" s="34"/>
      <c r="J3" s="34"/>
      <c r="K3" s="35"/>
      <c r="L3" s="35"/>
      <c r="M3" s="35"/>
      <c r="N3" s="35"/>
      <c r="O3" s="35"/>
    </row>
    <row r="4" spans="2:53" x14ac:dyDescent="0.2">
      <c r="C4" s="36"/>
      <c r="D4" s="36"/>
      <c r="E4" s="36"/>
      <c r="F4" s="36"/>
      <c r="G4" s="36"/>
      <c r="H4" s="36"/>
      <c r="I4" s="36"/>
      <c r="J4" s="36"/>
      <c r="K4" s="35"/>
      <c r="L4" s="35"/>
      <c r="M4" s="35"/>
      <c r="N4" s="35"/>
      <c r="O4" s="35"/>
      <c r="R4" s="37"/>
      <c r="S4" s="37"/>
      <c r="T4" s="37"/>
      <c r="U4" s="37"/>
      <c r="V4" s="37"/>
      <c r="W4" s="37"/>
      <c r="X4" s="37"/>
    </row>
    <row r="5" spans="2:53" x14ac:dyDescent="0.2">
      <c r="C5" s="38"/>
      <c r="D5" s="39"/>
      <c r="E5" s="40"/>
      <c r="F5" s="42" t="s">
        <v>38</v>
      </c>
      <c r="G5" s="40"/>
      <c r="H5" s="40"/>
      <c r="I5" s="39"/>
      <c r="J5" s="40" t="s">
        <v>104</v>
      </c>
      <c r="K5" s="35"/>
      <c r="L5" s="35"/>
      <c r="M5" s="35"/>
      <c r="N5" s="35"/>
      <c r="O5" s="35"/>
    </row>
    <row r="6" spans="2:53" x14ac:dyDescent="0.2">
      <c r="C6" s="42"/>
      <c r="D6" s="43" t="s">
        <v>40</v>
      </c>
      <c r="E6" s="42" t="s">
        <v>41</v>
      </c>
      <c r="F6" s="42" t="s">
        <v>42</v>
      </c>
      <c r="G6" s="44" t="s">
        <v>43</v>
      </c>
      <c r="H6" s="42" t="s">
        <v>44</v>
      </c>
      <c r="I6" s="43" t="s">
        <v>45</v>
      </c>
      <c r="J6" s="45" t="s">
        <v>46</v>
      </c>
      <c r="K6" s="35"/>
      <c r="L6" s="35"/>
      <c r="M6" s="35"/>
      <c r="N6" s="35"/>
      <c r="O6" s="35"/>
    </row>
    <row r="7" spans="2:53" ht="15" x14ac:dyDescent="0.35">
      <c r="C7" s="47" t="s">
        <v>47</v>
      </c>
      <c r="D7" s="48" t="s">
        <v>48</v>
      </c>
      <c r="E7" s="47" t="s">
        <v>49</v>
      </c>
      <c r="F7" s="47" t="s">
        <v>49</v>
      </c>
      <c r="G7" s="49" t="s">
        <v>50</v>
      </c>
      <c r="H7" s="47" t="s">
        <v>51</v>
      </c>
      <c r="I7" s="48" t="s">
        <v>52</v>
      </c>
      <c r="J7" s="50" t="s">
        <v>53</v>
      </c>
      <c r="K7" s="35"/>
      <c r="L7" s="35"/>
      <c r="M7" s="35"/>
      <c r="N7" s="35"/>
      <c r="O7" s="35"/>
    </row>
    <row r="8" spans="2:53" x14ac:dyDescent="0.2">
      <c r="C8" s="51" t="s">
        <v>8</v>
      </c>
      <c r="D8" s="52" t="s">
        <v>9</v>
      </c>
      <c r="E8" s="53" t="s">
        <v>10</v>
      </c>
      <c r="F8" s="54" t="s">
        <v>54</v>
      </c>
      <c r="G8" s="54" t="s">
        <v>55</v>
      </c>
      <c r="H8" s="53" t="s">
        <v>56</v>
      </c>
      <c r="I8" s="52" t="s">
        <v>57</v>
      </c>
      <c r="J8" s="53" t="s">
        <v>58</v>
      </c>
      <c r="K8" s="35"/>
      <c r="L8" s="35"/>
      <c r="M8" s="35"/>
      <c r="N8" s="35"/>
      <c r="O8" s="35"/>
    </row>
    <row r="9" spans="2:53" x14ac:dyDescent="0.2">
      <c r="C9" s="38"/>
      <c r="D9" s="39" t="s">
        <v>59</v>
      </c>
      <c r="E9" s="40" t="s">
        <v>60</v>
      </c>
      <c r="F9" s="55" t="s">
        <v>61</v>
      </c>
      <c r="G9" s="55"/>
      <c r="H9" s="40" t="s">
        <v>62</v>
      </c>
      <c r="I9" s="39" t="s">
        <v>63</v>
      </c>
      <c r="J9" s="40"/>
      <c r="K9" s="35"/>
      <c r="L9" s="35"/>
      <c r="M9" s="35"/>
      <c r="N9" s="35"/>
      <c r="O9" s="35"/>
    </row>
    <row r="10" spans="2:53" x14ac:dyDescent="0.2">
      <c r="B10" s="96"/>
      <c r="C10" s="38">
        <f>Year3</f>
        <v>2027</v>
      </c>
      <c r="D10" s="58">
        <f>BL40</f>
        <v>19654.750441735861</v>
      </c>
      <c r="E10" s="59">
        <f>($BL$30)</f>
        <v>-1747.7617505672763</v>
      </c>
      <c r="F10" s="59">
        <f>$BL$33+$BL$34+$BL$35</f>
        <v>-1620.3319398094136</v>
      </c>
      <c r="G10" s="60">
        <v>0</v>
      </c>
      <c r="H10" s="59">
        <f>$AU$44</f>
        <v>-5085.1084545002814</v>
      </c>
      <c r="I10" s="58">
        <f>BL43</f>
        <v>-45.360491765539955</v>
      </c>
      <c r="J10" s="61">
        <f>SUM(D10:I10)</f>
        <v>11156.187805093352</v>
      </c>
      <c r="K10" s="35"/>
      <c r="L10" s="35"/>
      <c r="M10" s="35"/>
      <c r="N10" s="35"/>
      <c r="O10" s="35"/>
    </row>
    <row r="11" spans="2:53" x14ac:dyDescent="0.2">
      <c r="D11" s="59"/>
      <c r="E11" s="59"/>
      <c r="F11" s="59"/>
      <c r="G11" s="59"/>
      <c r="H11" s="59"/>
      <c r="I11" s="94"/>
      <c r="J11" s="95"/>
      <c r="K11" s="35"/>
      <c r="L11" s="35"/>
      <c r="M11" s="35"/>
      <c r="N11" s="35"/>
      <c r="O11" s="35"/>
    </row>
    <row r="12" spans="2:53" x14ac:dyDescent="0.2">
      <c r="F12" s="64"/>
      <c r="G12" s="64"/>
      <c r="I12" s="95"/>
      <c r="K12" s="35"/>
      <c r="L12" s="35"/>
      <c r="M12" s="35"/>
      <c r="N12" s="35"/>
      <c r="O12" s="35"/>
    </row>
    <row r="13" spans="2:53" x14ac:dyDescent="0.2">
      <c r="C13" s="38" t="s">
        <v>64</v>
      </c>
      <c r="D13" s="12" t="str">
        <f>Res!D13</f>
        <v>Effective year (January 1, 2027 - December 31, 2027).</v>
      </c>
      <c r="F13" s="64"/>
      <c r="G13" s="64"/>
      <c r="H13" s="64"/>
      <c r="K13" s="35"/>
      <c r="L13" s="35"/>
      <c r="M13" s="35"/>
      <c r="N13" s="35"/>
      <c r="O13" s="35"/>
    </row>
    <row r="14" spans="2:53" x14ac:dyDescent="0.2">
      <c r="C14" s="38" t="s">
        <v>66</v>
      </c>
      <c r="D14" s="12" t="s">
        <v>121</v>
      </c>
      <c r="K14" s="38"/>
      <c r="M14" s="64"/>
      <c r="N14" s="64"/>
      <c r="O14" s="96"/>
    </row>
    <row r="15" spans="2:53" x14ac:dyDescent="0.2">
      <c r="C15" s="38" t="s">
        <v>67</v>
      </c>
      <c r="D15" s="12" t="s">
        <v>122</v>
      </c>
      <c r="G15" s="64"/>
      <c r="H15" s="64"/>
      <c r="K15" s="38"/>
      <c r="M15" s="12" t="s">
        <v>36</v>
      </c>
    </row>
    <row r="16" spans="2:53" x14ac:dyDescent="0.2">
      <c r="C16" s="38" t="s">
        <v>68</v>
      </c>
      <c r="D16" s="12" t="s">
        <v>123</v>
      </c>
      <c r="K16" s="38"/>
      <c r="P16" s="97"/>
      <c r="BA16" s="12" t="s">
        <v>36</v>
      </c>
    </row>
    <row r="17" spans="1:64" x14ac:dyDescent="0.2">
      <c r="C17" s="38" t="s">
        <v>69</v>
      </c>
      <c r="D17" s="66" t="s">
        <v>124</v>
      </c>
      <c r="K17" s="38"/>
      <c r="P17" s="97"/>
      <c r="AV17" s="12" t="s">
        <v>36</v>
      </c>
    </row>
    <row r="18" spans="1:64" x14ac:dyDescent="0.2">
      <c r="C18" s="38" t="s">
        <v>70</v>
      </c>
      <c r="D18" s="12" t="s">
        <v>125</v>
      </c>
      <c r="J18" s="12" t="s">
        <v>36</v>
      </c>
      <c r="K18" s="38"/>
    </row>
    <row r="19" spans="1:64" x14ac:dyDescent="0.2">
      <c r="C19" s="38" t="s">
        <v>71</v>
      </c>
      <c r="D19" s="12" t="s">
        <v>126</v>
      </c>
      <c r="K19" s="38"/>
    </row>
    <row r="20" spans="1:64" x14ac:dyDescent="0.2">
      <c r="B20" s="12" t="s">
        <v>36</v>
      </c>
      <c r="C20" s="38" t="s">
        <v>72</v>
      </c>
      <c r="D20" s="12" t="str">
        <f>Res!D20</f>
        <v>Col. B + Col. C + Col. D + Col. E + Col. F. + Col. G.</v>
      </c>
      <c r="K20" s="38"/>
      <c r="AV20" s="76"/>
    </row>
    <row r="21" spans="1:64" x14ac:dyDescent="0.2">
      <c r="AV21" s="69"/>
      <c r="BL21" s="70"/>
    </row>
    <row r="22" spans="1:64" x14ac:dyDescent="0.2">
      <c r="BL22" s="70"/>
    </row>
    <row r="23" spans="1:64" x14ac:dyDescent="0.2">
      <c r="A23" s="34" t="s">
        <v>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 t="s">
        <v>0</v>
      </c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 t="s">
        <v>0</v>
      </c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 t="s">
        <v>0</v>
      </c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</row>
    <row r="24" spans="1:64" x14ac:dyDescent="0.2">
      <c r="A24" s="34" t="str">
        <f>Year1-1&amp;" Commercial &amp; Industrial Monthly EES Deferral"</f>
        <v>2024 Commercial &amp; Industrial Monthly EES Deferral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 t="str">
        <f>Year1&amp;" Commercial &amp; Industrial Monthly EES Deferral"</f>
        <v>2025 Commercial &amp; Industrial Monthly EES Deferral</v>
      </c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 t="str">
        <f>Year2&amp;" Commercial &amp; Industrial Monthly EES Deferral"</f>
        <v>2026 Commercial &amp; Industrial Monthly EES Deferral</v>
      </c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 t="str">
        <f>Year3&amp;" Commercial &amp; Industrial Monthly EES Deferral"</f>
        <v>2027 Commercial &amp; Industrial Monthly EES Deferral</v>
      </c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</row>
    <row r="25" spans="1:64" x14ac:dyDescent="0.2">
      <c r="A25" s="34" t="s">
        <v>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 t="s">
        <v>1</v>
      </c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 t="s">
        <v>1</v>
      </c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 t="s">
        <v>1</v>
      </c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</row>
    <row r="26" spans="1:64" x14ac:dyDescent="0.2">
      <c r="A26" s="36"/>
      <c r="B26" s="35" t="s">
        <v>36</v>
      </c>
      <c r="C26" s="51" t="s">
        <v>8</v>
      </c>
      <c r="D26" s="71" t="s">
        <v>9</v>
      </c>
      <c r="E26" s="51" t="s">
        <v>10</v>
      </c>
      <c r="F26" s="53" t="s">
        <v>54</v>
      </c>
      <c r="G26" s="54" t="s">
        <v>55</v>
      </c>
      <c r="H26" s="53" t="s">
        <v>56</v>
      </c>
      <c r="I26" s="53" t="s">
        <v>57</v>
      </c>
      <c r="J26" s="53" t="s">
        <v>58</v>
      </c>
      <c r="K26" s="53" t="s">
        <v>74</v>
      </c>
      <c r="L26" s="72" t="s">
        <v>75</v>
      </c>
      <c r="M26" s="72" t="s">
        <v>76</v>
      </c>
      <c r="N26" s="72" t="s">
        <v>77</v>
      </c>
      <c r="O26" s="72" t="s">
        <v>78</v>
      </c>
      <c r="P26" s="72" t="s">
        <v>79</v>
      </c>
      <c r="Q26" s="36"/>
      <c r="R26" s="35"/>
      <c r="S26" s="51" t="s">
        <v>8</v>
      </c>
      <c r="T26" s="71" t="s">
        <v>9</v>
      </c>
      <c r="U26" s="51" t="s">
        <v>10</v>
      </c>
      <c r="V26" s="53" t="s">
        <v>54</v>
      </c>
      <c r="W26" s="54" t="s">
        <v>55</v>
      </c>
      <c r="X26" s="53" t="s">
        <v>56</v>
      </c>
      <c r="Y26" s="53" t="s">
        <v>57</v>
      </c>
      <c r="Z26" s="53" t="s">
        <v>58</v>
      </c>
      <c r="AA26" s="53" t="s">
        <v>74</v>
      </c>
      <c r="AB26" s="72" t="s">
        <v>75</v>
      </c>
      <c r="AC26" s="72" t="s">
        <v>76</v>
      </c>
      <c r="AD26" s="72" t="s">
        <v>77</v>
      </c>
      <c r="AE26" s="72" t="s">
        <v>78</v>
      </c>
      <c r="AF26" s="72" t="s">
        <v>79</v>
      </c>
      <c r="AG26" s="36"/>
      <c r="AH26" s="35"/>
      <c r="AI26" s="51" t="s">
        <v>8</v>
      </c>
      <c r="AJ26" s="71" t="s">
        <v>9</v>
      </c>
      <c r="AK26" s="51" t="s">
        <v>10</v>
      </c>
      <c r="AL26" s="53" t="s">
        <v>54</v>
      </c>
      <c r="AM26" s="54" t="s">
        <v>55</v>
      </c>
      <c r="AN26" s="53" t="s">
        <v>56</v>
      </c>
      <c r="AO26" s="53" t="s">
        <v>57</v>
      </c>
      <c r="AP26" s="53" t="s">
        <v>58</v>
      </c>
      <c r="AQ26" s="53" t="s">
        <v>74</v>
      </c>
      <c r="AR26" s="72" t="s">
        <v>75</v>
      </c>
      <c r="AS26" s="72" t="s">
        <v>76</v>
      </c>
      <c r="AT26" s="72" t="s">
        <v>77</v>
      </c>
      <c r="AU26" s="72" t="s">
        <v>78</v>
      </c>
      <c r="AV26" s="72" t="s">
        <v>79</v>
      </c>
      <c r="AW26" s="36"/>
      <c r="AX26" s="35"/>
      <c r="AY26" s="51" t="s">
        <v>8</v>
      </c>
      <c r="AZ26" s="71" t="s">
        <v>9</v>
      </c>
      <c r="BA26" s="51" t="s">
        <v>10</v>
      </c>
      <c r="BB26" s="53" t="s">
        <v>54</v>
      </c>
      <c r="BC26" s="73" t="s">
        <v>55</v>
      </c>
      <c r="BD26" s="53" t="s">
        <v>56</v>
      </c>
      <c r="BE26" s="53" t="s">
        <v>57</v>
      </c>
      <c r="BF26" s="53" t="s">
        <v>58</v>
      </c>
      <c r="BG26" s="53" t="s">
        <v>74</v>
      </c>
      <c r="BH26" s="72" t="s">
        <v>75</v>
      </c>
      <c r="BI26" s="72" t="s">
        <v>76</v>
      </c>
      <c r="BJ26" s="72" t="s">
        <v>77</v>
      </c>
      <c r="BK26" s="72" t="s">
        <v>78</v>
      </c>
      <c r="BL26" s="72" t="s">
        <v>79</v>
      </c>
    </row>
    <row r="27" spans="1:64" x14ac:dyDescent="0.2">
      <c r="A27" s="38"/>
      <c r="C27" s="51" t="str">
        <f>Res!C27</f>
        <v>Actual</v>
      </c>
      <c r="D27" s="51" t="str">
        <f>Res!D27</f>
        <v>Actual</v>
      </c>
      <c r="E27" s="51" t="str">
        <f>Res!E27</f>
        <v>Actual</v>
      </c>
      <c r="F27" s="51" t="str">
        <f>Res!F27</f>
        <v>Actual</v>
      </c>
      <c r="G27" s="51" t="str">
        <f>Res!G27</f>
        <v>Actual</v>
      </c>
      <c r="H27" s="51" t="str">
        <f>Res!H27</f>
        <v>Actual</v>
      </c>
      <c r="I27" s="51" t="str">
        <f>Res!I27</f>
        <v>Actual</v>
      </c>
      <c r="J27" s="51" t="str">
        <f>Res!J27</f>
        <v>Actual</v>
      </c>
      <c r="K27" s="51" t="str">
        <f>Res!K27</f>
        <v>Actual</v>
      </c>
      <c r="L27" s="51" t="str">
        <f>Res!L27</f>
        <v>Actual</v>
      </c>
      <c r="M27" s="51" t="str">
        <f>Res!M27</f>
        <v>Actual</v>
      </c>
      <c r="N27" s="51" t="str">
        <f>Res!N27</f>
        <v>Actual</v>
      </c>
      <c r="O27" s="51" t="str">
        <f>Res!O27</f>
        <v>Actual</v>
      </c>
      <c r="Q27" s="38"/>
      <c r="S27" s="51" t="str">
        <f>Res!S27</f>
        <v>Actual</v>
      </c>
      <c r="T27" s="51" t="str">
        <f>Res!T27</f>
        <v>Actual</v>
      </c>
      <c r="U27" s="51" t="str">
        <f>Res!U27</f>
        <v>Actual</v>
      </c>
      <c r="V27" s="51" t="str">
        <f>Res!V27</f>
        <v>Actual</v>
      </c>
      <c r="W27" s="51" t="str">
        <f>Res!W27</f>
        <v>Actual</v>
      </c>
      <c r="X27" s="51" t="str">
        <f>Res!X27</f>
        <v>Actual</v>
      </c>
      <c r="Y27" s="51" t="str">
        <f>Res!Y27</f>
        <v>Actual</v>
      </c>
      <c r="Z27" s="51" t="str">
        <f>Res!Z27</f>
        <v>Actual</v>
      </c>
      <c r="AA27" s="51" t="str">
        <f>Res!AA27</f>
        <v>Actual</v>
      </c>
      <c r="AB27" s="51" t="str">
        <f>Res!AB27</f>
        <v>Actual</v>
      </c>
      <c r="AC27" s="51" t="str">
        <f>Res!AC27</f>
        <v>Actual</v>
      </c>
      <c r="AD27" s="51" t="str">
        <f>Res!AD27</f>
        <v>Actual</v>
      </c>
      <c r="AE27" s="51" t="str">
        <f>Res!AE27</f>
        <v>Actual</v>
      </c>
      <c r="AG27" s="38"/>
      <c r="AI27" s="51" t="str">
        <f>Res!AI27</f>
        <v>Actual</v>
      </c>
      <c r="AJ27" s="51" t="str">
        <f>Res!AJ27</f>
        <v>Actual</v>
      </c>
      <c r="AK27" s="51" t="str">
        <f>Res!AK27</f>
        <v>Actual</v>
      </c>
      <c r="AL27" s="51" t="str">
        <f>Res!AL27</f>
        <v>Actual</v>
      </c>
      <c r="AM27" s="51" t="str">
        <f>Res!AM27</f>
        <v>Actual</v>
      </c>
      <c r="AN27" s="51" t="str">
        <f>Res!AN27</f>
        <v>Actual</v>
      </c>
      <c r="AO27" s="51" t="str">
        <f>Res!AO27</f>
        <v>Actual</v>
      </c>
      <c r="AP27" s="51" t="str">
        <f>Res!AP27</f>
        <v>Actual</v>
      </c>
      <c r="AQ27" s="51" t="str">
        <f>Res!AQ27</f>
        <v>Actual</v>
      </c>
      <c r="AR27" s="51" t="str">
        <f>Res!AR27</f>
        <v>Actual</v>
      </c>
      <c r="AS27" s="51" t="str">
        <f>Res!AS27</f>
        <v>Planned</v>
      </c>
      <c r="AT27" s="51" t="str">
        <f>Res!AT27</f>
        <v>Planned</v>
      </c>
      <c r="AU27" s="51" t="str">
        <f>Res!AU27</f>
        <v>Planned</v>
      </c>
      <c r="AW27" s="38"/>
      <c r="AY27" s="51" t="str">
        <f>Res!AY27</f>
        <v>Planned</v>
      </c>
      <c r="AZ27" s="51" t="str">
        <f>Res!AZ27</f>
        <v>Planned</v>
      </c>
      <c r="BA27" s="51" t="str">
        <f>Res!BA27</f>
        <v>Planned</v>
      </c>
      <c r="BB27" s="51" t="str">
        <f>Res!BB27</f>
        <v>Planned</v>
      </c>
      <c r="BC27" s="51" t="str">
        <f>Res!BC27</f>
        <v>Planned</v>
      </c>
      <c r="BD27" s="51" t="str">
        <f>Res!BD27</f>
        <v>Planned</v>
      </c>
      <c r="BE27" s="51" t="str">
        <f>Res!BE27</f>
        <v>Planned</v>
      </c>
      <c r="BF27" s="51" t="str">
        <f>Res!BF27</f>
        <v>Planned</v>
      </c>
      <c r="BG27" s="51" t="str">
        <f>Res!BG27</f>
        <v>Planned</v>
      </c>
      <c r="BH27" s="51" t="str">
        <f>Res!BH27</f>
        <v>Planned</v>
      </c>
      <c r="BI27" s="51" t="str">
        <f>Res!BI27</f>
        <v>Planned</v>
      </c>
      <c r="BJ27" s="51" t="str">
        <f>Res!BJ27</f>
        <v>Planned</v>
      </c>
      <c r="BK27" s="51" t="str">
        <f>Res!BK27</f>
        <v>Planned</v>
      </c>
    </row>
    <row r="28" spans="1:64" ht="15" x14ac:dyDescent="0.35">
      <c r="A28" s="74" t="s">
        <v>2</v>
      </c>
      <c r="B28" s="75" t="s">
        <v>81</v>
      </c>
      <c r="C28" s="74">
        <f>D28-31</f>
        <v>45261</v>
      </c>
      <c r="D28" s="74">
        <f>DATE(Year1-1,1,1)</f>
        <v>45292</v>
      </c>
      <c r="E28" s="74">
        <f>D28+31</f>
        <v>45323</v>
      </c>
      <c r="F28" s="74">
        <f>E28+29</f>
        <v>45352</v>
      </c>
      <c r="G28" s="74">
        <f>F28+31</f>
        <v>45383</v>
      </c>
      <c r="H28" s="74">
        <f>G28+30</f>
        <v>45413</v>
      </c>
      <c r="I28" s="74">
        <f>H28+31</f>
        <v>45444</v>
      </c>
      <c r="J28" s="74">
        <f>I28+30</f>
        <v>45474</v>
      </c>
      <c r="K28" s="74">
        <f>J28+31</f>
        <v>45505</v>
      </c>
      <c r="L28" s="74">
        <f>K28+31</f>
        <v>45536</v>
      </c>
      <c r="M28" s="74">
        <f>L28+30</f>
        <v>45566</v>
      </c>
      <c r="N28" s="74">
        <f>M28+31</f>
        <v>45597</v>
      </c>
      <c r="O28" s="74">
        <f>N28+30</f>
        <v>45627</v>
      </c>
      <c r="P28" s="74" t="s">
        <v>46</v>
      </c>
      <c r="Q28" s="74" t="s">
        <v>2</v>
      </c>
      <c r="R28" s="75" t="s">
        <v>81</v>
      </c>
      <c r="S28" s="74">
        <f>T28-31</f>
        <v>45627</v>
      </c>
      <c r="T28" s="74">
        <f>DATE(Year1,1,1)</f>
        <v>45658</v>
      </c>
      <c r="U28" s="74">
        <f>T28+31</f>
        <v>45689</v>
      </c>
      <c r="V28" s="74">
        <f>U28+28</f>
        <v>45717</v>
      </c>
      <c r="W28" s="74">
        <f>V28+31</f>
        <v>45748</v>
      </c>
      <c r="X28" s="74">
        <f>W28+30</f>
        <v>45778</v>
      </c>
      <c r="Y28" s="74">
        <f>X28+31</f>
        <v>45809</v>
      </c>
      <c r="Z28" s="74">
        <f>Y28+30</f>
        <v>45839</v>
      </c>
      <c r="AA28" s="74">
        <f>Z28+31</f>
        <v>45870</v>
      </c>
      <c r="AB28" s="74">
        <f>AA28+31</f>
        <v>45901</v>
      </c>
      <c r="AC28" s="74">
        <f>AB28+30</f>
        <v>45931</v>
      </c>
      <c r="AD28" s="74">
        <f>AC28+31</f>
        <v>45962</v>
      </c>
      <c r="AE28" s="74">
        <f>AD28+30</f>
        <v>45992</v>
      </c>
      <c r="AF28" s="74" t="s">
        <v>46</v>
      </c>
      <c r="AG28" s="74" t="s">
        <v>2</v>
      </c>
      <c r="AH28" s="75" t="s">
        <v>81</v>
      </c>
      <c r="AI28" s="74">
        <f>AJ28-31</f>
        <v>45992</v>
      </c>
      <c r="AJ28" s="74">
        <f>DATE(Year2,1,1)</f>
        <v>46023</v>
      </c>
      <c r="AK28" s="74">
        <f>AJ28+31</f>
        <v>46054</v>
      </c>
      <c r="AL28" s="74">
        <f>AK28+29</f>
        <v>46083</v>
      </c>
      <c r="AM28" s="74">
        <f>AL28+31</f>
        <v>46114</v>
      </c>
      <c r="AN28" s="74">
        <f>AM28+30</f>
        <v>46144</v>
      </c>
      <c r="AO28" s="74">
        <f>AN28+31</f>
        <v>46175</v>
      </c>
      <c r="AP28" s="74">
        <f>AO28+30</f>
        <v>46205</v>
      </c>
      <c r="AQ28" s="74">
        <f>AP28+31</f>
        <v>46236</v>
      </c>
      <c r="AR28" s="74">
        <f>AQ28+31</f>
        <v>46267</v>
      </c>
      <c r="AS28" s="74">
        <f>AR28+30</f>
        <v>46297</v>
      </c>
      <c r="AT28" s="74">
        <f>AS28+31</f>
        <v>46328</v>
      </c>
      <c r="AU28" s="74">
        <f>AT28+30</f>
        <v>46358</v>
      </c>
      <c r="AV28" s="74" t="s">
        <v>46</v>
      </c>
      <c r="AW28" s="74" t="s">
        <v>2</v>
      </c>
      <c r="AX28" s="75" t="s">
        <v>81</v>
      </c>
      <c r="AY28" s="74">
        <f>AZ28-31</f>
        <v>46357</v>
      </c>
      <c r="AZ28" s="74">
        <f>DATE(Year3,1,1)</f>
        <v>46388</v>
      </c>
      <c r="BA28" s="74">
        <f>AZ28+31</f>
        <v>46419</v>
      </c>
      <c r="BB28" s="74">
        <f>BA28+29</f>
        <v>46448</v>
      </c>
      <c r="BC28" s="74">
        <f>BB28+31</f>
        <v>46479</v>
      </c>
      <c r="BD28" s="74">
        <f>BC28+30</f>
        <v>46509</v>
      </c>
      <c r="BE28" s="74">
        <f>BD28+31</f>
        <v>46540</v>
      </c>
      <c r="BF28" s="74">
        <f>BE28+30</f>
        <v>46570</v>
      </c>
      <c r="BG28" s="74">
        <f>BF28+31</f>
        <v>46601</v>
      </c>
      <c r="BH28" s="74">
        <f>BG28+31</f>
        <v>46632</v>
      </c>
      <c r="BI28" s="74">
        <f>BH28+30</f>
        <v>46662</v>
      </c>
      <c r="BJ28" s="74">
        <f>BI28+31</f>
        <v>46693</v>
      </c>
      <c r="BK28" s="74">
        <f>BJ28+30</f>
        <v>46723</v>
      </c>
      <c r="BL28" s="74" t="s">
        <v>46</v>
      </c>
    </row>
    <row r="29" spans="1:64" x14ac:dyDescent="0.2">
      <c r="A29" s="38"/>
      <c r="Q29" s="38"/>
      <c r="AG29" s="38"/>
      <c r="AW29" s="38"/>
    </row>
    <row r="30" spans="1:64" x14ac:dyDescent="0.2">
      <c r="A30" s="38">
        <f>Res!A30</f>
        <v>1</v>
      </c>
      <c r="B30" s="66" t="str">
        <f>Res!B30</f>
        <v>SBC Revenues</v>
      </c>
      <c r="C30" s="76"/>
      <c r="D30" s="77">
        <v>0</v>
      </c>
      <c r="E30" s="77">
        <v>-161.34169782738786</v>
      </c>
      <c r="F30" s="77">
        <v>-161.34169782738786</v>
      </c>
      <c r="G30" s="77">
        <v>-161.34169782738786</v>
      </c>
      <c r="H30" s="77">
        <v>-161.34169782738786</v>
      </c>
      <c r="I30" s="77">
        <v>-161.34169782738786</v>
      </c>
      <c r="J30" s="77">
        <v>-161.34169782738786</v>
      </c>
      <c r="K30" s="77">
        <v>-161.34169782738786</v>
      </c>
      <c r="L30" s="77">
        <v>-322.68339565477572</v>
      </c>
      <c r="M30" s="77">
        <v>-80.670848913693931</v>
      </c>
      <c r="N30" s="77">
        <v>-161.34169782738786</v>
      </c>
      <c r="O30" s="77">
        <v>-266.90070267123127</v>
      </c>
      <c r="P30" s="77">
        <f t="shared" ref="P30:P36" si="0">SUM(D30:O30)</f>
        <v>-1960.9885298588038</v>
      </c>
      <c r="Q30" s="38">
        <v>1</v>
      </c>
      <c r="R30" s="66" t="str">
        <f>Res!R30</f>
        <v>SBC Revenues</v>
      </c>
      <c r="S30" s="76"/>
      <c r="T30" s="77">
        <v>0</v>
      </c>
      <c r="U30" s="77">
        <v>-158.26402013157477</v>
      </c>
      <c r="V30" s="77">
        <v>-158.26402013157477</v>
      </c>
      <c r="W30" s="77">
        <v>-158.26402013157477</v>
      </c>
      <c r="X30" s="77">
        <v>-158.26402013157477</v>
      </c>
      <c r="Y30" s="77">
        <v>-158.26402013157477</v>
      </c>
      <c r="Z30" s="77">
        <v>-158.26402013157477</v>
      </c>
      <c r="AA30" s="77">
        <v>-168.63173546100967</v>
      </c>
      <c r="AB30" s="77">
        <v>-168.63173546100967</v>
      </c>
      <c r="AC30" s="77">
        <v>-168.63173546100967</v>
      </c>
      <c r="AD30" s="77">
        <v>-168.63173546100967</v>
      </c>
      <c r="AE30" s="77">
        <v>-326.41390732704281</v>
      </c>
      <c r="AF30" s="77">
        <f t="shared" ref="AF30:AF36" si="1">SUM(T30:AE30)</f>
        <v>-1950.5249699605299</v>
      </c>
      <c r="AG30" s="38">
        <v>1</v>
      </c>
      <c r="AH30" s="66" t="str">
        <f>Res!AH30</f>
        <v>SBC Revenues</v>
      </c>
      <c r="AI30" s="76"/>
      <c r="AJ30" s="77">
        <v>0</v>
      </c>
      <c r="AK30" s="77">
        <v>-167.53618487287068</v>
      </c>
      <c r="AL30" s="77">
        <v>-167.53618487287068</v>
      </c>
      <c r="AM30" s="77">
        <v>-167.53618487287068</v>
      </c>
      <c r="AN30" s="77">
        <v>-167.53618487287068</v>
      </c>
      <c r="AO30" s="77">
        <v>-167.53618487287068</v>
      </c>
      <c r="AP30" s="77">
        <v>-167.53618487287068</v>
      </c>
      <c r="AQ30" s="77">
        <v>-167.53618487287068</v>
      </c>
      <c r="AR30" s="77">
        <v>-167.53618487287068</v>
      </c>
      <c r="AS30" s="77">
        <v>-167.53567907212403</v>
      </c>
      <c r="AT30" s="77">
        <v>-167.53567907212403</v>
      </c>
      <c r="AU30" s="77">
        <v>-335.07135814424805</v>
      </c>
      <c r="AV30" s="77">
        <f>SUM(AJ30:AU30)</f>
        <v>-2010.4321952714615</v>
      </c>
      <c r="AW30" s="38">
        <v>1</v>
      </c>
      <c r="AX30" s="66" t="str">
        <f>Res!AX30</f>
        <v>SBC Revenues</v>
      </c>
      <c r="AY30" s="76"/>
      <c r="AZ30" s="77">
        <v>0</v>
      </c>
      <c r="BA30" s="77">
        <v>-145.64681254727304</v>
      </c>
      <c r="BB30" s="77">
        <v>-145.64681254727304</v>
      </c>
      <c r="BC30" s="77">
        <v>-145.64681254727304</v>
      </c>
      <c r="BD30" s="77">
        <v>-145.64681254727304</v>
      </c>
      <c r="BE30" s="77">
        <v>-145.64681254727304</v>
      </c>
      <c r="BF30" s="77">
        <v>-145.64681254727304</v>
      </c>
      <c r="BG30" s="77">
        <v>-145.64681254727304</v>
      </c>
      <c r="BH30" s="77">
        <v>-145.64681254727304</v>
      </c>
      <c r="BI30" s="77">
        <v>-145.64681254727304</v>
      </c>
      <c r="BJ30" s="77">
        <v>-145.64681254727304</v>
      </c>
      <c r="BK30" s="77">
        <v>-291.29362509454609</v>
      </c>
      <c r="BL30" s="77">
        <f t="shared" ref="BL30:BL36" si="2">SUM(AZ30:BK30)</f>
        <v>-1747.7617505672763</v>
      </c>
    </row>
    <row r="31" spans="1:64" x14ac:dyDescent="0.2">
      <c r="A31" s="38">
        <f>Res!A31</f>
        <v>2</v>
      </c>
      <c r="B31" s="66" t="str">
        <f>Res!B31</f>
        <v>EES Revenues, 1/1/2024-6/30/2024</v>
      </c>
      <c r="C31" s="76"/>
      <c r="D31" s="77">
        <v>0</v>
      </c>
      <c r="E31" s="77">
        <v>-825.05539459616864</v>
      </c>
      <c r="F31" s="77">
        <v>-825.05539459616864</v>
      </c>
      <c r="G31" s="77">
        <v>-825.05539459616864</v>
      </c>
      <c r="H31" s="77">
        <v>-825.05539459616864</v>
      </c>
      <c r="I31" s="77">
        <v>-825.05539459616864</v>
      </c>
      <c r="J31" s="77">
        <v>-825.05539459616864</v>
      </c>
      <c r="P31" s="77">
        <f t="shared" si="0"/>
        <v>-4950.3323675770116</v>
      </c>
      <c r="Q31" s="38">
        <v>2</v>
      </c>
      <c r="R31" s="66" t="str">
        <f>Res!R31</f>
        <v>EES Revenues, 1/1/2025-6/30/2025</v>
      </c>
      <c r="S31" s="76"/>
      <c r="T31" s="77">
        <v>0</v>
      </c>
      <c r="U31" s="77">
        <v>-976.5452155637945</v>
      </c>
      <c r="V31" s="77">
        <v>-976.5452155637945</v>
      </c>
      <c r="W31" s="77">
        <v>-976.5452155637945</v>
      </c>
      <c r="X31" s="77">
        <v>-976.5452155637945</v>
      </c>
      <c r="Y31" s="77">
        <v>-976.5452155637945</v>
      </c>
      <c r="Z31" s="77">
        <v>-976.5452155637945</v>
      </c>
      <c r="AA31" s="77"/>
      <c r="AB31" s="77"/>
      <c r="AC31" s="77"/>
      <c r="AD31" s="77"/>
      <c r="AE31" s="77"/>
      <c r="AF31" s="77">
        <f t="shared" si="1"/>
        <v>-5859.2712933827661</v>
      </c>
      <c r="AG31" s="38">
        <f t="shared" ref="AG31:AG36" si="3">AG30+1</f>
        <v>2</v>
      </c>
      <c r="AH31" s="66" t="str">
        <f>Res!AH31</f>
        <v>EES Revenues</v>
      </c>
      <c r="AI31" s="76"/>
      <c r="AJ31" s="77">
        <v>0</v>
      </c>
      <c r="AK31" s="77">
        <v>-766.69924801044317</v>
      </c>
      <c r="AL31" s="77">
        <v>-766.69924801044317</v>
      </c>
      <c r="AM31" s="77">
        <v>-766.69924801044317</v>
      </c>
      <c r="AN31" s="77">
        <v>-766.69924801044317</v>
      </c>
      <c r="AO31" s="77">
        <v>-766.69924801044317</v>
      </c>
      <c r="AP31" s="77">
        <v>-766.69924801044317</v>
      </c>
      <c r="AQ31" s="77">
        <v>-766.69924801044317</v>
      </c>
      <c r="AR31" s="77">
        <v>-766.69924801044317</v>
      </c>
      <c r="AS31" s="77">
        <v>-766.6992947925944</v>
      </c>
      <c r="AT31" s="77">
        <v>-766.6992947925944</v>
      </c>
      <c r="AU31" s="77">
        <v>-1533.3985895851888</v>
      </c>
      <c r="AV31" s="77">
        <f>SUM(AJ31:AU31)</f>
        <v>-9200.3911632539239</v>
      </c>
      <c r="AW31" s="38">
        <v>2</v>
      </c>
      <c r="AX31" s="66" t="str">
        <f>Res!AX31</f>
        <v>EES Revenues</v>
      </c>
      <c r="AY31" s="76"/>
      <c r="AZ31" s="77">
        <v>0</v>
      </c>
      <c r="BA31" s="77">
        <v>-929.68231709111285</v>
      </c>
      <c r="BB31" s="77">
        <v>-929.68231709111285</v>
      </c>
      <c r="BC31" s="77">
        <v>-929.68231709111285</v>
      </c>
      <c r="BD31" s="77">
        <v>-929.68231709111285</v>
      </c>
      <c r="BE31" s="77">
        <v>-929.68231709111285</v>
      </c>
      <c r="BF31" s="77">
        <v>-929.68231709111285</v>
      </c>
      <c r="BG31" s="77">
        <v>-929.68231709111285</v>
      </c>
      <c r="BH31" s="77">
        <v>-929.68231709111285</v>
      </c>
      <c r="BI31" s="77">
        <v>-929.68231709111285</v>
      </c>
      <c r="BJ31" s="77">
        <v>-929.68231709111285</v>
      </c>
      <c r="BK31" s="77">
        <v>-1859.3646341822257</v>
      </c>
      <c r="BL31" s="77">
        <f t="shared" si="2"/>
        <v>-11156.187805093354</v>
      </c>
    </row>
    <row r="32" spans="1:64" x14ac:dyDescent="0.2">
      <c r="A32" s="38">
        <f>Res!A32</f>
        <v>3</v>
      </c>
      <c r="B32" s="66" t="str">
        <f>Res!B32</f>
        <v>EES Revenues, 7/1/2024-12/31/2024</v>
      </c>
      <c r="C32" s="76"/>
      <c r="D32" s="77"/>
      <c r="E32" s="77"/>
      <c r="F32" s="77"/>
      <c r="G32" s="77"/>
      <c r="H32" s="77"/>
      <c r="I32" s="77"/>
      <c r="J32" s="77"/>
      <c r="K32" s="77">
        <v>220.96433836552498</v>
      </c>
      <c r="L32" s="77">
        <v>844.47398786731833</v>
      </c>
      <c r="M32" s="77">
        <v>216.43680263937742</v>
      </c>
      <c r="N32" s="77">
        <v>432.87360527875484</v>
      </c>
      <c r="O32" s="77">
        <v>781.71808892905483</v>
      </c>
      <c r="P32" s="77">
        <f t="shared" si="0"/>
        <v>2496.4668230800307</v>
      </c>
      <c r="Q32" s="38">
        <v>3</v>
      </c>
      <c r="R32" s="66" t="str">
        <f>Res!R32</f>
        <v>EES Revenues, 7/1/2025-12/31/2025</v>
      </c>
      <c r="S32" s="76"/>
      <c r="T32" s="77"/>
      <c r="U32" s="77"/>
      <c r="V32" s="77"/>
      <c r="W32" s="77"/>
      <c r="X32" s="77"/>
      <c r="Y32" s="77"/>
      <c r="Z32" s="77"/>
      <c r="AA32" s="77">
        <v>-519.25045587063426</v>
      </c>
      <c r="AB32" s="77">
        <v>-519.25045587063426</v>
      </c>
      <c r="AC32" s="77">
        <v>-519.25045587063426</v>
      </c>
      <c r="AD32" s="77">
        <v>-519.25045587063426</v>
      </c>
      <c r="AE32" s="77">
        <v>-682.21999231418386</v>
      </c>
      <c r="AF32" s="77">
        <f>SUM(T32:AE32)</f>
        <v>-2759.2218157967209</v>
      </c>
      <c r="AG32" s="38"/>
      <c r="AH32" s="66"/>
      <c r="AI32" s="76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38"/>
      <c r="AX32" s="66"/>
      <c r="AY32" s="76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</row>
    <row r="33" spans="1:67" x14ac:dyDescent="0.2">
      <c r="A33" s="38">
        <f>Res!A33</f>
        <v>4</v>
      </c>
      <c r="B33" s="66" t="str">
        <f>Res!B33</f>
        <v>FCM Revenues*</v>
      </c>
      <c r="C33" s="76"/>
      <c r="D33" s="77">
        <v>-30.241985699874984</v>
      </c>
      <c r="E33" s="77">
        <v>-49.819167568198473</v>
      </c>
      <c r="F33" s="77">
        <v>-53.834649797435205</v>
      </c>
      <c r="G33" s="77">
        <v>-60.927761492935524</v>
      </c>
      <c r="H33" s="77">
        <v>-46.634632751915625</v>
      </c>
      <c r="I33" s="77">
        <v>-76.818505531112024</v>
      </c>
      <c r="J33" s="77">
        <v>-97.702157326971232</v>
      </c>
      <c r="K33" s="77">
        <v>-104.87448311609693</v>
      </c>
      <c r="L33" s="77">
        <v>-92.913989830114986</v>
      </c>
      <c r="M33" s="77">
        <v>-96.654559912420225</v>
      </c>
      <c r="N33" s="77">
        <v>-86.096201657624263</v>
      </c>
      <c r="O33" s="77">
        <v>-149.96810107948275</v>
      </c>
      <c r="P33" s="77">
        <f t="shared" si="0"/>
        <v>-946.4861957641823</v>
      </c>
      <c r="Q33" s="38">
        <v>4</v>
      </c>
      <c r="R33" s="66" t="str">
        <f>Res!R33</f>
        <v>FCM Revenues*</v>
      </c>
      <c r="S33" s="76"/>
      <c r="T33" s="77">
        <v>-61.339371009047085</v>
      </c>
      <c r="U33" s="77">
        <v>-91.991671728403361</v>
      </c>
      <c r="V33" s="77">
        <v>-89.600226371650876</v>
      </c>
      <c r="W33" s="77">
        <v>-85.592078986040775</v>
      </c>
      <c r="X33" s="77">
        <v>-91.055521399871438</v>
      </c>
      <c r="Y33" s="77">
        <v>-77.120163733540508</v>
      </c>
      <c r="Z33" s="77">
        <v>-52.148791105970353</v>
      </c>
      <c r="AA33" s="77">
        <v>-53.716172353084879</v>
      </c>
      <c r="AB33" s="77">
        <v>-50.677980581826453</v>
      </c>
      <c r="AC33" s="77">
        <v>-55.7287329352163</v>
      </c>
      <c r="AD33" s="77">
        <v>-37.582937590400114</v>
      </c>
      <c r="AE33" s="77">
        <v>-57.210360044266501</v>
      </c>
      <c r="AF33" s="77">
        <f t="shared" si="1"/>
        <v>-803.76400783931854</v>
      </c>
      <c r="AG33" s="38">
        <f>AG31+1</f>
        <v>3</v>
      </c>
      <c r="AH33" s="66" t="str">
        <f>Res!AH33</f>
        <v>FCM Revenues*</v>
      </c>
      <c r="AI33" s="76"/>
      <c r="AJ33" s="77">
        <v>-54.440682263256342</v>
      </c>
      <c r="AK33" s="77">
        <v>-49.579327011086988</v>
      </c>
      <c r="AL33" s="77">
        <v>-50.691488647699337</v>
      </c>
      <c r="AM33" s="77">
        <v>-42.935540230380518</v>
      </c>
      <c r="AN33" s="77">
        <v>-45.720574135765212</v>
      </c>
      <c r="AO33" s="77">
        <v>-50.302330755837417</v>
      </c>
      <c r="AP33" s="77">
        <v>-46.732892490969952</v>
      </c>
      <c r="AQ33" s="77">
        <v>-40.4639451129447</v>
      </c>
      <c r="AR33" s="77">
        <v>-37.997545372133416</v>
      </c>
      <c r="AS33" s="77">
        <v>-12.825507477615506</v>
      </c>
      <c r="AT33" s="77">
        <v>-12.825507477615506</v>
      </c>
      <c r="AU33" s="77">
        <v>-12.825507477615506</v>
      </c>
      <c r="AV33" s="77">
        <f>SUM(AJ33:AU33)</f>
        <v>-457.34084845292051</v>
      </c>
      <c r="AW33" s="38">
        <v>3</v>
      </c>
      <c r="AX33" s="66" t="str">
        <f>Res!AX33</f>
        <v>FCM Revenues*</v>
      </c>
      <c r="AY33" s="76"/>
      <c r="AZ33" s="77">
        <v>-35.02425084966017</v>
      </c>
      <c r="BA33" s="77">
        <v>-35.02425084966017</v>
      </c>
      <c r="BB33" s="77">
        <v>-35.02425084966017</v>
      </c>
      <c r="BC33" s="77">
        <v>-35.02425084966017</v>
      </c>
      <c r="BD33" s="77">
        <v>-35.02425084966017</v>
      </c>
      <c r="BE33" s="77">
        <v>-35.02425084966017</v>
      </c>
      <c r="BF33" s="77">
        <v>-35.02425084966017</v>
      </c>
      <c r="BG33" s="77">
        <v>-35.02425084966017</v>
      </c>
      <c r="BH33" s="77">
        <v>-35.02425084966017</v>
      </c>
      <c r="BI33" s="77">
        <v>-35.02425084966017</v>
      </c>
      <c r="BJ33" s="77">
        <v>-35.02425084966017</v>
      </c>
      <c r="BK33" s="77">
        <v>-35.02425084966017</v>
      </c>
      <c r="BL33" s="77">
        <f t="shared" si="2"/>
        <v>-420.29101019592207</v>
      </c>
    </row>
    <row r="34" spans="1:67" x14ac:dyDescent="0.2">
      <c r="A34" s="38">
        <f>Res!A34</f>
        <v>5</v>
      </c>
      <c r="B34" s="66" t="str">
        <f>Res!B34</f>
        <v>RGGI Revenues**</v>
      </c>
      <c r="C34" s="76"/>
      <c r="D34" s="77">
        <v>-651.62007470852961</v>
      </c>
      <c r="E34" s="77">
        <v>0</v>
      </c>
      <c r="F34" s="77">
        <v>0</v>
      </c>
      <c r="G34" s="77">
        <v>-829.32002532135061</v>
      </c>
      <c r="H34" s="77">
        <v>0</v>
      </c>
      <c r="I34" s="77">
        <v>-1188.5057520309867</v>
      </c>
      <c r="J34" s="77">
        <v>0</v>
      </c>
      <c r="K34" s="77">
        <v>0</v>
      </c>
      <c r="L34" s="77">
        <v>0</v>
      </c>
      <c r="M34" s="77">
        <v>0</v>
      </c>
      <c r="N34" s="77">
        <v>-985.42279233086322</v>
      </c>
      <c r="O34" s="77">
        <v>0</v>
      </c>
      <c r="P34" s="77">
        <f t="shared" si="0"/>
        <v>-3654.86864439173</v>
      </c>
      <c r="Q34" s="38">
        <v>5</v>
      </c>
      <c r="R34" s="66" t="str">
        <f>Res!R34</f>
        <v>RGGI Revenues**</v>
      </c>
      <c r="S34" s="76"/>
      <c r="T34" s="77">
        <v>0</v>
      </c>
      <c r="U34" s="77">
        <v>-635.92489480000006</v>
      </c>
      <c r="V34" s="77">
        <v>-554.32001560000003</v>
      </c>
      <c r="W34" s="77">
        <v>0</v>
      </c>
      <c r="X34" s="77">
        <v>-436.06723420000003</v>
      </c>
      <c r="Y34" s="77">
        <v>0</v>
      </c>
      <c r="Z34" s="77">
        <v>0</v>
      </c>
      <c r="AA34" s="77">
        <v>0</v>
      </c>
      <c r="AB34" s="77">
        <v>0</v>
      </c>
      <c r="AC34" s="77">
        <v>-757.22919220000006</v>
      </c>
      <c r="AD34" s="77">
        <v>0</v>
      </c>
      <c r="AE34" s="77">
        <v>0</v>
      </c>
      <c r="AF34" s="77">
        <f t="shared" si="1"/>
        <v>-2383.5413368000004</v>
      </c>
      <c r="AG34" s="38">
        <f t="shared" si="3"/>
        <v>4</v>
      </c>
      <c r="AH34" s="66" t="str">
        <f>Res!AH34</f>
        <v>RGGI Revenues**</v>
      </c>
      <c r="AI34" s="76"/>
      <c r="AJ34" s="77">
        <v>0</v>
      </c>
      <c r="AK34" s="77">
        <v>0</v>
      </c>
      <c r="AL34" s="77">
        <v>-908.7507286</v>
      </c>
      <c r="AM34" s="77">
        <v>0</v>
      </c>
      <c r="AN34" s="77">
        <v>-1627.9030820000003</v>
      </c>
      <c r="AO34" s="77">
        <v>0</v>
      </c>
      <c r="AP34" s="77">
        <v>0</v>
      </c>
      <c r="AQ34" s="77">
        <v>0</v>
      </c>
      <c r="AR34" s="77">
        <v>-1606.3539804</v>
      </c>
      <c r="AS34" s="77">
        <v>0</v>
      </c>
      <c r="AT34" s="77">
        <v>0</v>
      </c>
      <c r="AU34" s="77">
        <v>0</v>
      </c>
      <c r="AV34" s="77">
        <f>SUM(AJ34:AU34)</f>
        <v>-4143.007791</v>
      </c>
      <c r="AW34" s="38">
        <v>4</v>
      </c>
      <c r="AX34" s="66" t="str">
        <f>Res!AX34</f>
        <v>RGGI Revenues**</v>
      </c>
      <c r="AY34" s="76"/>
      <c r="AZ34" s="77">
        <v>0</v>
      </c>
      <c r="BA34" s="77">
        <v>0</v>
      </c>
      <c r="BB34" s="77">
        <v>-300.01023240337287</v>
      </c>
      <c r="BC34" s="77">
        <v>0</v>
      </c>
      <c r="BD34" s="77">
        <v>0</v>
      </c>
      <c r="BE34" s="77">
        <v>-300.01023240337287</v>
      </c>
      <c r="BF34" s="77">
        <v>0</v>
      </c>
      <c r="BG34" s="77">
        <v>0</v>
      </c>
      <c r="BH34" s="77">
        <v>-300.01023240337287</v>
      </c>
      <c r="BI34" s="77">
        <v>0</v>
      </c>
      <c r="BJ34" s="77">
        <v>0</v>
      </c>
      <c r="BK34" s="77">
        <v>-300.01023240337287</v>
      </c>
      <c r="BL34" s="77">
        <f t="shared" si="2"/>
        <v>-1200.0409296134915</v>
      </c>
    </row>
    <row r="35" spans="1:67" ht="15" x14ac:dyDescent="0.35">
      <c r="A35" s="38">
        <f>Res!A35</f>
        <v>6</v>
      </c>
      <c r="B35" s="66" t="s">
        <v>105</v>
      </c>
      <c r="C35" s="76"/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f>SUM(D35:O35)</f>
        <v>0</v>
      </c>
      <c r="Q35" s="38">
        <v>6</v>
      </c>
      <c r="R35" s="66" t="s">
        <v>105</v>
      </c>
      <c r="S35" s="76"/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  <c r="AC35" s="78">
        <v>0</v>
      </c>
      <c r="AD35" s="78">
        <v>0</v>
      </c>
      <c r="AE35" s="78">
        <v>0</v>
      </c>
      <c r="AF35" s="78">
        <f>SUM(T35:AE35)</f>
        <v>0</v>
      </c>
      <c r="AG35" s="38">
        <f t="shared" si="3"/>
        <v>5</v>
      </c>
      <c r="AH35" s="66" t="s">
        <v>105</v>
      </c>
      <c r="AI35" s="76"/>
      <c r="AJ35" s="78">
        <v>0</v>
      </c>
      <c r="AK35" s="78">
        <v>0</v>
      </c>
      <c r="AL35" s="78">
        <v>0</v>
      </c>
      <c r="AM35" s="78">
        <v>0</v>
      </c>
      <c r="AN35" s="78">
        <v>0</v>
      </c>
      <c r="AO35" s="78">
        <v>0</v>
      </c>
      <c r="AP35" s="78">
        <v>0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f>SUM(AJ35:AU35)</f>
        <v>0</v>
      </c>
      <c r="AW35" s="38">
        <v>5</v>
      </c>
      <c r="AX35" s="66" t="s">
        <v>105</v>
      </c>
      <c r="AY35" s="76"/>
      <c r="AZ35" s="78">
        <v>0</v>
      </c>
      <c r="BA35" s="78">
        <v>0</v>
      </c>
      <c r="BB35" s="78">
        <v>0</v>
      </c>
      <c r="BC35" s="78">
        <v>0</v>
      </c>
      <c r="BD35" s="78">
        <v>0</v>
      </c>
      <c r="BE35" s="78">
        <v>0</v>
      </c>
      <c r="BF35" s="78">
        <v>0</v>
      </c>
      <c r="BG35" s="78">
        <v>0</v>
      </c>
      <c r="BH35" s="78">
        <v>0</v>
      </c>
      <c r="BI35" s="78">
        <v>0</v>
      </c>
      <c r="BJ35" s="78">
        <v>0</v>
      </c>
      <c r="BK35" s="78">
        <v>0</v>
      </c>
      <c r="BL35" s="78">
        <f>SUM(AZ35:BK35)</f>
        <v>0</v>
      </c>
    </row>
    <row r="36" spans="1:67" x14ac:dyDescent="0.2">
      <c r="A36" s="38">
        <f>Res!A36</f>
        <v>7</v>
      </c>
      <c r="B36" s="66" t="str">
        <f>Res!B36</f>
        <v>Total Energy Efficiency Revenues</v>
      </c>
      <c r="C36" s="76"/>
      <c r="D36" s="77">
        <f t="shared" ref="D36:O36" si="4">SUM(D30:D35)</f>
        <v>-681.86206040840455</v>
      </c>
      <c r="E36" s="77">
        <f t="shared" si="4"/>
        <v>-1036.2162599917549</v>
      </c>
      <c r="F36" s="77">
        <f t="shared" si="4"/>
        <v>-1040.2317422209917</v>
      </c>
      <c r="G36" s="77">
        <f t="shared" si="4"/>
        <v>-1876.6448792378426</v>
      </c>
      <c r="H36" s="77">
        <f t="shared" si="4"/>
        <v>-1033.031725175472</v>
      </c>
      <c r="I36" s="77">
        <f t="shared" si="4"/>
        <v>-2251.7213499856553</v>
      </c>
      <c r="J36" s="77">
        <f t="shared" si="4"/>
        <v>-1084.0992497505276</v>
      </c>
      <c r="K36" s="77">
        <f t="shared" si="4"/>
        <v>-45.251842577959806</v>
      </c>
      <c r="L36" s="77">
        <f t="shared" si="4"/>
        <v>428.87660238242762</v>
      </c>
      <c r="M36" s="77">
        <f t="shared" si="4"/>
        <v>39.111393813263263</v>
      </c>
      <c r="N36" s="77">
        <f t="shared" si="4"/>
        <v>-799.98708653712049</v>
      </c>
      <c r="O36" s="77">
        <f t="shared" si="4"/>
        <v>364.84928517834078</v>
      </c>
      <c r="P36" s="77">
        <f t="shared" si="0"/>
        <v>-9016.208914511697</v>
      </c>
      <c r="Q36" s="38">
        <v>7</v>
      </c>
      <c r="R36" s="66" t="str">
        <f>Res!R36</f>
        <v>Total Energy Efficiency Revenues</v>
      </c>
      <c r="S36" s="76"/>
      <c r="T36" s="77">
        <f t="shared" ref="T36:AD36" si="5">SUM(T30:T35)</f>
        <v>-61.339371009047085</v>
      </c>
      <c r="U36" s="77">
        <f t="shared" si="5"/>
        <v>-1862.7258022237729</v>
      </c>
      <c r="V36" s="77">
        <f t="shared" si="5"/>
        <v>-1778.7294776670203</v>
      </c>
      <c r="W36" s="77">
        <f t="shared" si="5"/>
        <v>-1220.4013146814102</v>
      </c>
      <c r="X36" s="77">
        <f t="shared" si="5"/>
        <v>-1661.9319912952408</v>
      </c>
      <c r="Y36" s="77">
        <f t="shared" si="5"/>
        <v>-1211.9293994289098</v>
      </c>
      <c r="Z36" s="77">
        <f t="shared" si="5"/>
        <v>-1186.9580268013397</v>
      </c>
      <c r="AA36" s="77">
        <f t="shared" si="5"/>
        <v>-741.59836368472884</v>
      </c>
      <c r="AB36" s="77">
        <f t="shared" si="5"/>
        <v>-738.56017191347041</v>
      </c>
      <c r="AC36" s="77">
        <f t="shared" si="5"/>
        <v>-1500.8401164668603</v>
      </c>
      <c r="AD36" s="77">
        <f t="shared" si="5"/>
        <v>-725.46512892204407</v>
      </c>
      <c r="AE36" s="77">
        <f>SUM(AE30:AE35)</f>
        <v>-1065.8442596854932</v>
      </c>
      <c r="AF36" s="77">
        <f t="shared" si="1"/>
        <v>-13756.323423779337</v>
      </c>
      <c r="AG36" s="38">
        <f t="shared" si="3"/>
        <v>6</v>
      </c>
      <c r="AH36" s="66" t="str">
        <f>Res!AH36</f>
        <v>Total Energy Efficiency Revenues</v>
      </c>
      <c r="AI36" s="76"/>
      <c r="AJ36" s="77">
        <f t="shared" ref="AJ36:AU36" si="6">SUM(AJ30:AJ35)</f>
        <v>-54.440682263256342</v>
      </c>
      <c r="AK36" s="77">
        <f t="shared" si="6"/>
        <v>-983.81475989440082</v>
      </c>
      <c r="AL36" s="77">
        <f t="shared" si="6"/>
        <v>-1893.6776501310133</v>
      </c>
      <c r="AM36" s="77">
        <f t="shared" si="6"/>
        <v>-977.17097311369434</v>
      </c>
      <c r="AN36" s="77">
        <f t="shared" si="6"/>
        <v>-2607.8590890190794</v>
      </c>
      <c r="AO36" s="77">
        <f t="shared" si="6"/>
        <v>-984.53776363915119</v>
      </c>
      <c r="AP36" s="77">
        <f t="shared" si="6"/>
        <v>-980.96832537428372</v>
      </c>
      <c r="AQ36" s="77">
        <f t="shared" si="6"/>
        <v>-974.69937799625848</v>
      </c>
      <c r="AR36" s="77">
        <f t="shared" si="6"/>
        <v>-2578.5869586554472</v>
      </c>
      <c r="AS36" s="77">
        <f t="shared" si="6"/>
        <v>-947.0604813423339</v>
      </c>
      <c r="AT36" s="77">
        <f t="shared" si="6"/>
        <v>-947.0604813423339</v>
      </c>
      <c r="AU36" s="77">
        <f t="shared" si="6"/>
        <v>-1881.2954552070523</v>
      </c>
      <c r="AV36" s="77">
        <f>SUM(AJ36:AU36)</f>
        <v>-15811.171997978305</v>
      </c>
      <c r="AW36" s="38">
        <v>6</v>
      </c>
      <c r="AX36" s="66" t="str">
        <f>Res!AX36</f>
        <v>Total Energy Efficiency Revenues</v>
      </c>
      <c r="AY36" s="76"/>
      <c r="AZ36" s="77">
        <f t="shared" ref="AZ36:BK36" si="7">SUM(AZ30:AZ35)</f>
        <v>-35.02425084966017</v>
      </c>
      <c r="BA36" s="77">
        <f t="shared" si="7"/>
        <v>-1110.353380488046</v>
      </c>
      <c r="BB36" s="77">
        <f t="shared" si="7"/>
        <v>-1410.3636128914188</v>
      </c>
      <c r="BC36" s="77">
        <f t="shared" si="7"/>
        <v>-1110.353380488046</v>
      </c>
      <c r="BD36" s="77">
        <f t="shared" si="7"/>
        <v>-1110.353380488046</v>
      </c>
      <c r="BE36" s="77">
        <f t="shared" si="7"/>
        <v>-1410.3636128914188</v>
      </c>
      <c r="BF36" s="77">
        <f t="shared" si="7"/>
        <v>-1110.353380488046</v>
      </c>
      <c r="BG36" s="77">
        <f t="shared" si="7"/>
        <v>-1110.353380488046</v>
      </c>
      <c r="BH36" s="77">
        <f t="shared" si="7"/>
        <v>-1410.3636128914188</v>
      </c>
      <c r="BI36" s="77">
        <f t="shared" si="7"/>
        <v>-1110.353380488046</v>
      </c>
      <c r="BJ36" s="77">
        <f t="shared" si="7"/>
        <v>-1110.353380488046</v>
      </c>
      <c r="BK36" s="77">
        <f t="shared" si="7"/>
        <v>-2485.6927425298049</v>
      </c>
      <c r="BL36" s="77">
        <f t="shared" si="2"/>
        <v>-14524.281495470044</v>
      </c>
      <c r="BO36" s="12" t="s">
        <v>36</v>
      </c>
    </row>
    <row r="37" spans="1:67" x14ac:dyDescent="0.2">
      <c r="A37" s="38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38"/>
      <c r="S37" s="76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38"/>
      <c r="AI37" s="76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38"/>
      <c r="AY37" s="76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</row>
    <row r="38" spans="1:67" x14ac:dyDescent="0.2">
      <c r="A38" s="38"/>
      <c r="C38" s="76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38">
        <f>Res!Q38</f>
        <v>8</v>
      </c>
      <c r="R38" s="66" t="str">
        <f>Res!R38</f>
        <v>Energy Efficiency Expenditures - PA Models</v>
      </c>
      <c r="S38" s="76"/>
      <c r="T38" s="77">
        <f t="shared" ref="T38:AE38" si="8">T40-T39</f>
        <v>93.483754037214041</v>
      </c>
      <c r="U38" s="77">
        <f t="shared" si="8"/>
        <v>182.87300142934092</v>
      </c>
      <c r="V38" s="77">
        <f t="shared" si="8"/>
        <v>1316.4730885242061</v>
      </c>
      <c r="W38" s="77">
        <f t="shared" si="8"/>
        <v>925.99708707967375</v>
      </c>
      <c r="X38" s="77">
        <f t="shared" si="8"/>
        <v>1163.233311311614</v>
      </c>
      <c r="Y38" s="77">
        <f t="shared" si="8"/>
        <v>949.93930706369724</v>
      </c>
      <c r="Z38" s="77">
        <f t="shared" si="8"/>
        <v>716.46572022153896</v>
      </c>
      <c r="AA38" s="77">
        <f t="shared" si="8"/>
        <v>847.65352773201323</v>
      </c>
      <c r="AB38" s="77">
        <f t="shared" si="8"/>
        <v>447.88654524030278</v>
      </c>
      <c r="AC38" s="77">
        <f t="shared" si="8"/>
        <v>510.05205371884711</v>
      </c>
      <c r="AD38" s="77">
        <f t="shared" si="8"/>
        <v>333.10498941813688</v>
      </c>
      <c r="AE38" s="77">
        <f t="shared" si="8"/>
        <v>1582.3286142393911</v>
      </c>
      <c r="AF38" s="77">
        <f>SUM(T38:AE38)</f>
        <v>9069.4910000159744</v>
      </c>
      <c r="AG38" s="38">
        <f>Res!AG38</f>
        <v>7</v>
      </c>
      <c r="AH38" s="66" t="str">
        <f>Res!AH38</f>
        <v>Energy Efficiency Expenditures - PA Models</v>
      </c>
      <c r="AI38" s="76"/>
      <c r="AJ38" s="77">
        <f t="shared" ref="AJ38:AU38" si="9">AJ40-AJ39</f>
        <v>83.310459025543793</v>
      </c>
      <c r="AK38" s="77">
        <f t="shared" si="9"/>
        <v>341.79706017586045</v>
      </c>
      <c r="AL38" s="77">
        <f t="shared" si="9"/>
        <v>484.75217518490399</v>
      </c>
      <c r="AM38" s="77">
        <f t="shared" si="9"/>
        <v>1234.7434083899284</v>
      </c>
      <c r="AN38" s="77">
        <f t="shared" si="9"/>
        <v>686.2998991228086</v>
      </c>
      <c r="AO38" s="77">
        <f t="shared" si="9"/>
        <v>544.50578181416768</v>
      </c>
      <c r="AP38" s="77">
        <f t="shared" si="9"/>
        <v>1247.5967873496697</v>
      </c>
      <c r="AQ38" s="77">
        <f t="shared" si="9"/>
        <v>445.43015375174963</v>
      </c>
      <c r="AR38" s="77">
        <f t="shared" si="9"/>
        <v>418.18363321343679</v>
      </c>
      <c r="AS38" s="77">
        <f t="shared" si="9"/>
        <v>3593.9793028144445</v>
      </c>
      <c r="AT38" s="77">
        <f t="shared" si="9"/>
        <v>3593.9793028144445</v>
      </c>
      <c r="AU38" s="77">
        <f t="shared" si="9"/>
        <v>3593.9793028144445</v>
      </c>
      <c r="AV38" s="77">
        <f>SUM(AJ38:AU38)</f>
        <v>16268.557266471404</v>
      </c>
      <c r="AW38" s="38">
        <f>Res!AW38</f>
        <v>7</v>
      </c>
      <c r="AX38" s="66" t="str">
        <f>Res!AX38</f>
        <v>Energy Efficiency Expenditures - PA Models</v>
      </c>
      <c r="AY38" s="76"/>
      <c r="AZ38" s="77">
        <f t="shared" ref="AZ38:BK38" si="10">AZ40-AZ39</f>
        <v>1553.5753085132319</v>
      </c>
      <c r="BA38" s="77">
        <f t="shared" si="10"/>
        <v>1553.5753085132319</v>
      </c>
      <c r="BB38" s="77">
        <f t="shared" si="10"/>
        <v>1553.5753085132319</v>
      </c>
      <c r="BC38" s="77">
        <f t="shared" si="10"/>
        <v>1553.5753085132319</v>
      </c>
      <c r="BD38" s="77">
        <f t="shared" si="10"/>
        <v>1553.5753085132319</v>
      </c>
      <c r="BE38" s="77">
        <f t="shared" si="10"/>
        <v>1553.5753085132319</v>
      </c>
      <c r="BF38" s="77">
        <f t="shared" si="10"/>
        <v>1553.5753085132319</v>
      </c>
      <c r="BG38" s="77">
        <f t="shared" si="10"/>
        <v>1553.5753085132319</v>
      </c>
      <c r="BH38" s="77">
        <f t="shared" si="10"/>
        <v>1553.5753085132319</v>
      </c>
      <c r="BI38" s="77">
        <f t="shared" si="10"/>
        <v>1553.5753085132319</v>
      </c>
      <c r="BJ38" s="77">
        <f t="shared" si="10"/>
        <v>1553.5753085132319</v>
      </c>
      <c r="BK38" s="77">
        <f t="shared" si="10"/>
        <v>1553.5753085132319</v>
      </c>
      <c r="BL38" s="77">
        <f>SUM(AZ38:BK38)</f>
        <v>18642.903702158779</v>
      </c>
    </row>
    <row r="39" spans="1:67" ht="15" x14ac:dyDescent="0.35">
      <c r="A39" s="38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38">
        <f>Res!Q39</f>
        <v>9</v>
      </c>
      <c r="R39" s="66" t="str">
        <f>Res!R39</f>
        <v>Energy Efficiency Expenditures - Electrification Pool</v>
      </c>
      <c r="S39" s="76"/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0</v>
      </c>
      <c r="Z39" s="78">
        <v>266.185</v>
      </c>
      <c r="AA39" s="78">
        <v>84.897619999999989</v>
      </c>
      <c r="AB39" s="78">
        <v>87.046030000000002</v>
      </c>
      <c r="AC39" s="78">
        <v>94.973830000000007</v>
      </c>
      <c r="AD39" s="78">
        <v>92.683530000000005</v>
      </c>
      <c r="AE39" s="78">
        <v>282.93319000000002</v>
      </c>
      <c r="AF39" s="78">
        <f>SUM(T39:AE39)</f>
        <v>908.7192</v>
      </c>
      <c r="AG39" s="38">
        <f>Res!AG39</f>
        <v>8</v>
      </c>
      <c r="AH39" s="66" t="str">
        <f>Res!AH39</f>
        <v>Energy Efficiency Expenditures - Electrification Pool</v>
      </c>
      <c r="AI39" s="76"/>
      <c r="AJ39" s="78">
        <v>210.66666000000001</v>
      </c>
      <c r="AK39" s="78">
        <v>157.82621</v>
      </c>
      <c r="AL39" s="78">
        <v>116.13928</v>
      </c>
      <c r="AM39" s="78">
        <v>151.62348</v>
      </c>
      <c r="AN39" s="78">
        <v>95.093119999999999</v>
      </c>
      <c r="AO39" s="78">
        <v>29.00911</v>
      </c>
      <c r="AP39" s="78">
        <v>40.235119999999995</v>
      </c>
      <c r="AQ39" s="78">
        <v>36.227980000000002</v>
      </c>
      <c r="AR39" s="78">
        <v>25.643450000000001</v>
      </c>
      <c r="AS39" s="78">
        <v>58.029196666666735</v>
      </c>
      <c r="AT39" s="78">
        <v>58.029196666666735</v>
      </c>
      <c r="AU39" s="78">
        <v>58.029196666666735</v>
      </c>
      <c r="AV39" s="78">
        <f>SUM(AJ39:AU39)</f>
        <v>1036.5520000000001</v>
      </c>
      <c r="AW39" s="38">
        <f>Res!AW39</f>
        <v>8</v>
      </c>
      <c r="AX39" s="66" t="str">
        <f>Res!AX39</f>
        <v>Energy Efficiency Expenditures - Electrification Pool</v>
      </c>
      <c r="AY39" s="76"/>
      <c r="AZ39" s="78">
        <v>84.320561631423288</v>
      </c>
      <c r="BA39" s="78">
        <v>84.320561631423288</v>
      </c>
      <c r="BB39" s="78">
        <v>84.320561631423288</v>
      </c>
      <c r="BC39" s="78">
        <v>84.320561631423288</v>
      </c>
      <c r="BD39" s="78">
        <v>84.320561631423288</v>
      </c>
      <c r="BE39" s="78">
        <v>84.320561631423288</v>
      </c>
      <c r="BF39" s="78">
        <v>84.320561631423288</v>
      </c>
      <c r="BG39" s="78">
        <v>84.320561631423288</v>
      </c>
      <c r="BH39" s="78">
        <v>84.320561631423288</v>
      </c>
      <c r="BI39" s="78">
        <v>84.320561631423288</v>
      </c>
      <c r="BJ39" s="78">
        <v>84.320561631423288</v>
      </c>
      <c r="BK39" s="78">
        <v>84.320561631423288</v>
      </c>
      <c r="BL39" s="78">
        <f>SUM(AZ39:BK39)</f>
        <v>1011.8467395770795</v>
      </c>
    </row>
    <row r="40" spans="1:67" x14ac:dyDescent="0.2">
      <c r="A40" s="38">
        <f>Res!A40</f>
        <v>8</v>
      </c>
      <c r="B40" s="66" t="str">
        <f>Res!B40</f>
        <v>Total Energy Efficiency Expenses</v>
      </c>
      <c r="C40" s="76"/>
      <c r="D40" s="77">
        <v>45.090550356020174</v>
      </c>
      <c r="E40" s="77">
        <v>655.01120030234176</v>
      </c>
      <c r="F40" s="77">
        <v>1484.2063284056701</v>
      </c>
      <c r="G40" s="77">
        <v>1128.0572417549531</v>
      </c>
      <c r="H40" s="77">
        <v>1967.6129802946109</v>
      </c>
      <c r="I40" s="77">
        <v>1023.5232844226632</v>
      </c>
      <c r="J40" s="77">
        <v>1891.2960030149759</v>
      </c>
      <c r="K40" s="77">
        <v>1204.7054123196272</v>
      </c>
      <c r="L40" s="77">
        <v>208.82839365565232</v>
      </c>
      <c r="M40" s="77">
        <v>1241.3587845773598</v>
      </c>
      <c r="N40" s="77">
        <v>2710.5706859007373</v>
      </c>
      <c r="O40" s="77">
        <v>6854.7577616611825</v>
      </c>
      <c r="P40" s="77">
        <f>SUM(D40:O40)</f>
        <v>20415.018626665795</v>
      </c>
      <c r="Q40" s="38">
        <f>Res!Q40</f>
        <v>10</v>
      </c>
      <c r="R40" s="66" t="str">
        <f>Res!R40</f>
        <v>Total Energy Efficiency Expenses</v>
      </c>
      <c r="S40" s="76"/>
      <c r="T40" s="77">
        <v>93.483754037214041</v>
      </c>
      <c r="U40" s="77">
        <v>182.87300142934092</v>
      </c>
      <c r="V40" s="77">
        <v>1316.4730885242061</v>
      </c>
      <c r="W40" s="77">
        <v>925.99708707967375</v>
      </c>
      <c r="X40" s="77">
        <v>1163.233311311614</v>
      </c>
      <c r="Y40" s="77">
        <v>949.93930706369724</v>
      </c>
      <c r="Z40" s="77">
        <v>982.65072022153902</v>
      </c>
      <c r="AA40" s="77">
        <v>932.55114773201319</v>
      </c>
      <c r="AB40" s="77">
        <v>534.93257524030275</v>
      </c>
      <c r="AC40" s="77">
        <v>605.02588371884713</v>
      </c>
      <c r="AD40" s="77">
        <v>425.7885194181369</v>
      </c>
      <c r="AE40" s="77">
        <v>1865.261804239391</v>
      </c>
      <c r="AF40" s="77">
        <f>SUM(T40:AE40)</f>
        <v>9978.2102000159757</v>
      </c>
      <c r="AG40" s="38">
        <f>Res!AG40</f>
        <v>9</v>
      </c>
      <c r="AH40" s="66" t="str">
        <f>Res!AH40</f>
        <v>Total Energy Efficiency Expenses</v>
      </c>
      <c r="AI40" s="76"/>
      <c r="AJ40" s="77">
        <v>293.9771190255438</v>
      </c>
      <c r="AK40" s="77">
        <v>499.62327017586045</v>
      </c>
      <c r="AL40" s="77">
        <v>600.89145518490398</v>
      </c>
      <c r="AM40" s="77">
        <v>1386.3668883899284</v>
      </c>
      <c r="AN40" s="77">
        <v>781.3930191228086</v>
      </c>
      <c r="AO40" s="77">
        <v>573.51489181416764</v>
      </c>
      <c r="AP40" s="77">
        <v>1287.8319073496698</v>
      </c>
      <c r="AQ40" s="77">
        <v>481.65813375174963</v>
      </c>
      <c r="AR40" s="77">
        <v>443.82708321343682</v>
      </c>
      <c r="AS40" s="77">
        <v>3652.0084994811114</v>
      </c>
      <c r="AT40" s="77">
        <v>3652.0084994811114</v>
      </c>
      <c r="AU40" s="77">
        <v>3652.0084994811114</v>
      </c>
      <c r="AV40" s="77">
        <f>SUM(AJ40:AU40)</f>
        <v>17305.109266471401</v>
      </c>
      <c r="AW40" s="38">
        <f>Res!AW40</f>
        <v>9</v>
      </c>
      <c r="AX40" s="66" t="str">
        <f>Res!AX40</f>
        <v>Total Energy Efficiency Expenses</v>
      </c>
      <c r="AY40" s="76"/>
      <c r="AZ40" s="77">
        <v>1637.8958701446552</v>
      </c>
      <c r="BA40" s="77">
        <v>1637.8958701446552</v>
      </c>
      <c r="BB40" s="77">
        <v>1637.8958701446552</v>
      </c>
      <c r="BC40" s="77">
        <v>1637.8958701446552</v>
      </c>
      <c r="BD40" s="77">
        <v>1637.8958701446552</v>
      </c>
      <c r="BE40" s="77">
        <v>1637.8958701446552</v>
      </c>
      <c r="BF40" s="77">
        <v>1637.8958701446552</v>
      </c>
      <c r="BG40" s="77">
        <v>1637.8958701446552</v>
      </c>
      <c r="BH40" s="77">
        <v>1637.8958701446552</v>
      </c>
      <c r="BI40" s="77">
        <v>1637.8958701446552</v>
      </c>
      <c r="BJ40" s="77">
        <v>1637.8958701446552</v>
      </c>
      <c r="BK40" s="77">
        <v>1637.8958701446552</v>
      </c>
      <c r="BL40" s="77">
        <f>SUM(AZ40:BK40)</f>
        <v>19654.750441735861</v>
      </c>
    </row>
    <row r="41" spans="1:67" x14ac:dyDescent="0.2">
      <c r="A41" s="38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38"/>
      <c r="S41" s="76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38"/>
      <c r="AI41" s="76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38"/>
      <c r="AY41" s="76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</row>
    <row r="42" spans="1:67" ht="15" x14ac:dyDescent="0.35">
      <c r="A42" s="38">
        <f>Res!A42</f>
        <v>9</v>
      </c>
      <c r="B42" s="66" t="str">
        <f>Res!B42</f>
        <v>Deferral (Over)/Under Recovery</v>
      </c>
      <c r="C42" s="77"/>
      <c r="D42" s="77">
        <f t="shared" ref="D42:O42" si="11">D36+D40</f>
        <v>-636.77151005238443</v>
      </c>
      <c r="E42" s="77">
        <f t="shared" si="11"/>
        <v>-381.20505968941313</v>
      </c>
      <c r="F42" s="77">
        <f t="shared" si="11"/>
        <v>443.9745861846784</v>
      </c>
      <c r="G42" s="77">
        <f t="shared" si="11"/>
        <v>-748.58763748288948</v>
      </c>
      <c r="H42" s="77">
        <f t="shared" si="11"/>
        <v>934.58125511913886</v>
      </c>
      <c r="I42" s="77">
        <f t="shared" si="11"/>
        <v>-1228.198065562992</v>
      </c>
      <c r="J42" s="77">
        <f t="shared" si="11"/>
        <v>807.19675326444826</v>
      </c>
      <c r="K42" s="77">
        <f t="shared" si="11"/>
        <v>1159.4535697416673</v>
      </c>
      <c r="L42" s="77">
        <f t="shared" si="11"/>
        <v>637.70499603807991</v>
      </c>
      <c r="M42" s="77">
        <f t="shared" si="11"/>
        <v>1280.470178390623</v>
      </c>
      <c r="N42" s="77">
        <f t="shared" si="11"/>
        <v>1910.5835993636169</v>
      </c>
      <c r="O42" s="77">
        <f t="shared" si="11"/>
        <v>7219.6070468395228</v>
      </c>
      <c r="P42" s="78"/>
      <c r="Q42" s="38">
        <f>Res!Q42</f>
        <v>11</v>
      </c>
      <c r="R42" s="66" t="str">
        <f>Res!R42</f>
        <v>Deferral (Over)/Under Recovery</v>
      </c>
      <c r="S42" s="77"/>
      <c r="T42" s="77">
        <f t="shared" ref="T42:AE42" si="12">T36+T40</f>
        <v>32.144383028166956</v>
      </c>
      <c r="U42" s="77">
        <f t="shared" si="12"/>
        <v>-1679.8528007944319</v>
      </c>
      <c r="V42" s="77">
        <f t="shared" si="12"/>
        <v>-462.25638914281421</v>
      </c>
      <c r="W42" s="77">
        <f t="shared" si="12"/>
        <v>-294.40422760173647</v>
      </c>
      <c r="X42" s="77">
        <f t="shared" si="12"/>
        <v>-498.69867998362679</v>
      </c>
      <c r="Y42" s="77">
        <f t="shared" si="12"/>
        <v>-261.9900923652126</v>
      </c>
      <c r="Z42" s="77">
        <f t="shared" si="12"/>
        <v>-204.30730657980064</v>
      </c>
      <c r="AA42" s="77">
        <f t="shared" si="12"/>
        <v>190.95278404728435</v>
      </c>
      <c r="AB42" s="77">
        <f t="shared" si="12"/>
        <v>-203.62759667316766</v>
      </c>
      <c r="AC42" s="77">
        <f t="shared" si="12"/>
        <v>-895.81423274801318</v>
      </c>
      <c r="AD42" s="77">
        <f t="shared" si="12"/>
        <v>-299.67660950390717</v>
      </c>
      <c r="AE42" s="77">
        <f t="shared" si="12"/>
        <v>799.41754455389787</v>
      </c>
      <c r="AF42" s="78"/>
      <c r="AG42" s="38">
        <f>Res!AG42</f>
        <v>10</v>
      </c>
      <c r="AH42" s="66" t="str">
        <f>Res!AH42</f>
        <v>Deferral (Over)/Under Recovery</v>
      </c>
      <c r="AI42" s="77"/>
      <c r="AJ42" s="77">
        <f t="shared" ref="AJ42:AU42" si="13">AJ36+AJ40</f>
        <v>239.53643676228745</v>
      </c>
      <c r="AK42" s="77">
        <f t="shared" si="13"/>
        <v>-484.19148971854037</v>
      </c>
      <c r="AL42" s="77">
        <f t="shared" si="13"/>
        <v>-1292.7861949461094</v>
      </c>
      <c r="AM42" s="77">
        <f t="shared" si="13"/>
        <v>409.19591527623402</v>
      </c>
      <c r="AN42" s="77">
        <f t="shared" si="13"/>
        <v>-1826.4660698962707</v>
      </c>
      <c r="AO42" s="77">
        <f t="shared" si="13"/>
        <v>-411.02287182498355</v>
      </c>
      <c r="AP42" s="77">
        <f t="shared" si="13"/>
        <v>306.86358197538607</v>
      </c>
      <c r="AQ42" s="77">
        <f t="shared" si="13"/>
        <v>-493.04124424450885</v>
      </c>
      <c r="AR42" s="77">
        <f t="shared" si="13"/>
        <v>-2134.7598754420105</v>
      </c>
      <c r="AS42" s="77">
        <f t="shared" si="13"/>
        <v>2704.9480181387776</v>
      </c>
      <c r="AT42" s="77">
        <f t="shared" si="13"/>
        <v>2704.9480181387776</v>
      </c>
      <c r="AU42" s="77">
        <f t="shared" si="13"/>
        <v>1770.713044274059</v>
      </c>
      <c r="AV42" s="78"/>
      <c r="AW42" s="38">
        <f>Res!AW42</f>
        <v>10</v>
      </c>
      <c r="AX42" s="66" t="str">
        <f>Res!AX42</f>
        <v>Deferral (Over)/Under Recovery</v>
      </c>
      <c r="AY42" s="77"/>
      <c r="AZ42" s="77">
        <f t="shared" ref="AZ42:BK42" si="14">AZ36+AZ40</f>
        <v>1602.8716192949951</v>
      </c>
      <c r="BA42" s="77">
        <f t="shared" si="14"/>
        <v>527.54248965660918</v>
      </c>
      <c r="BB42" s="77">
        <f t="shared" si="14"/>
        <v>227.53225725323637</v>
      </c>
      <c r="BC42" s="77">
        <f t="shared" si="14"/>
        <v>527.54248965660918</v>
      </c>
      <c r="BD42" s="77">
        <f t="shared" si="14"/>
        <v>527.54248965660918</v>
      </c>
      <c r="BE42" s="77">
        <f t="shared" si="14"/>
        <v>227.53225725323637</v>
      </c>
      <c r="BF42" s="77">
        <f t="shared" si="14"/>
        <v>527.54248965660918</v>
      </c>
      <c r="BG42" s="77">
        <f t="shared" si="14"/>
        <v>527.54248965660918</v>
      </c>
      <c r="BH42" s="77">
        <f t="shared" si="14"/>
        <v>227.53225725323637</v>
      </c>
      <c r="BI42" s="77">
        <f t="shared" si="14"/>
        <v>527.54248965660918</v>
      </c>
      <c r="BJ42" s="77">
        <f t="shared" si="14"/>
        <v>527.54248965660918</v>
      </c>
      <c r="BK42" s="77">
        <f t="shared" si="14"/>
        <v>-847.79687238514975</v>
      </c>
      <c r="BL42" s="78"/>
    </row>
    <row r="43" spans="1:67" ht="15" x14ac:dyDescent="0.35">
      <c r="A43" s="38">
        <f>Res!A43</f>
        <v>10</v>
      </c>
      <c r="B43" s="66" t="str">
        <f>Res!B43</f>
        <v>Interest on Deferral Balance</v>
      </c>
      <c r="C43" s="76"/>
      <c r="D43" s="78">
        <v>-61.32723056516474</v>
      </c>
      <c r="E43" s="78">
        <v>-44.775030515002996</v>
      </c>
      <c r="F43" s="78">
        <v>-41.974124626690987</v>
      </c>
      <c r="G43" s="78">
        <v>-35.448776465084265</v>
      </c>
      <c r="H43" s="78">
        <v>-35.951169052564282</v>
      </c>
      <c r="I43" s="78">
        <v>-34.194800093390974</v>
      </c>
      <c r="J43" s="78">
        <v>-24.554146832815601</v>
      </c>
      <c r="K43" s="78">
        <v>-19.488797348304431</v>
      </c>
      <c r="L43" s="78">
        <v>-22.44453061450016</v>
      </c>
      <c r="M43" s="78">
        <v>-22.35837922113738</v>
      </c>
      <c r="N43" s="78">
        <v>-20.194614087318826</v>
      </c>
      <c r="O43" s="78">
        <v>-13.842822604086939</v>
      </c>
      <c r="P43" s="78">
        <f>SUM(D43:O43)</f>
        <v>-376.55442202606162</v>
      </c>
      <c r="Q43" s="38">
        <f>Res!Q43</f>
        <v>12</v>
      </c>
      <c r="R43" s="66" t="str">
        <f>Res!R43</f>
        <v>Interest on Deferral Balance</v>
      </c>
      <c r="S43" s="76"/>
      <c r="T43" s="78">
        <v>-15.548309480191454</v>
      </c>
      <c r="U43" s="78">
        <v>-8.3479986535704196</v>
      </c>
      <c r="V43" s="78">
        <v>-10.558928405356854</v>
      </c>
      <c r="W43" s="78">
        <v>-11.575607399663401</v>
      </c>
      <c r="X43" s="78">
        <v>-13.024081934436785</v>
      </c>
      <c r="Y43" s="78">
        <v>-14.127071312757492</v>
      </c>
      <c r="Z43" s="78">
        <v>-16.455044947388846</v>
      </c>
      <c r="AA43" s="78">
        <v>-16.554159154958587</v>
      </c>
      <c r="AB43" s="78">
        <v>-15.597316473404662</v>
      </c>
      <c r="AC43" s="78">
        <v>-17.88760163983488</v>
      </c>
      <c r="AD43" s="78">
        <v>-17.900256147663864</v>
      </c>
      <c r="AE43" s="78">
        <v>-17.992374127570358</v>
      </c>
      <c r="AF43" s="78">
        <f>SUM(T43:AE43)</f>
        <v>-175.56874967679761</v>
      </c>
      <c r="AG43" s="38">
        <f>Res!AG43</f>
        <v>11</v>
      </c>
      <c r="AH43" s="66" t="str">
        <f>Res!AH43</f>
        <v>Interest on Deferral Balance</v>
      </c>
      <c r="AI43" s="76"/>
      <c r="AJ43" s="78">
        <v>-20.719191693903387</v>
      </c>
      <c r="AK43" s="78">
        <v>-18.450680887409405</v>
      </c>
      <c r="AL43" s="78">
        <v>-19.58756236431795</v>
      </c>
      <c r="AM43" s="78">
        <v>-19.239699420980259</v>
      </c>
      <c r="AN43" s="78">
        <v>-20.440471884372744</v>
      </c>
      <c r="AO43" s="78">
        <v>-24.581552338844769</v>
      </c>
      <c r="AP43" s="78">
        <v>-26.781782976964873</v>
      </c>
      <c r="AQ43" s="78">
        <v>-28.19781011318701</v>
      </c>
      <c r="AR43" s="78">
        <v>-25.498670542840635</v>
      </c>
      <c r="AS43" s="78">
        <f>IF(AS27="Planned",(AR44+AS42/2)*AS45/12,"Update to Actuals")</f>
        <v>-27.935995726977392</v>
      </c>
      <c r="AT43" s="78">
        <f>IF(AT27="Planned",(AS44+AT42/2)*AT45/12,"Update to Actuals")</f>
        <v>-21.042689769267007</v>
      </c>
      <c r="AU43" s="78">
        <f>IF(AU27="Planned",(AT44+AU42/2)*AU45/12,"Update to Actuals")</f>
        <v>-15.33446107756634</v>
      </c>
      <c r="AV43" s="78">
        <f>SUM(AJ43:AU43)</f>
        <v>-267.81056879663174</v>
      </c>
      <c r="AW43" s="38">
        <f>Res!AW43</f>
        <v>11</v>
      </c>
      <c r="AX43" s="66" t="str">
        <f>Res!AX43</f>
        <v>Interest on Deferral Balance</v>
      </c>
      <c r="AY43" s="76"/>
      <c r="AZ43" s="78">
        <f t="shared" ref="AZ43:BK43" si="15">IF(AZ27="Planned",(AY44+AZ42/2)*AZ45/12,"Update to Actuals")</f>
        <v>-11.03045706049592</v>
      </c>
      <c r="BA43" s="78">
        <f t="shared" si="15"/>
        <v>-8.3159523221515048</v>
      </c>
      <c r="BB43" s="78">
        <f t="shared" si="15"/>
        <v>-7.3652071627346194</v>
      </c>
      <c r="BC43" s="78">
        <f t="shared" si="15"/>
        <v>-6.4120138345322353</v>
      </c>
      <c r="BD43" s="78">
        <f t="shared" si="15"/>
        <v>-5.0701028592903876</v>
      </c>
      <c r="BE43" s="78">
        <f t="shared" si="15"/>
        <v>-4.1109996375066347</v>
      </c>
      <c r="BF43" s="78">
        <f t="shared" si="15"/>
        <v>-3.1494267249267875</v>
      </c>
      <c r="BG43" s="78">
        <f t="shared" si="15"/>
        <v>-1.7991145878777053</v>
      </c>
      <c r="BH43" s="78">
        <f t="shared" si="15"/>
        <v>-0.83158857129506447</v>
      </c>
      <c r="BI43" s="78">
        <f t="shared" si="15"/>
        <v>0.13842882478027699</v>
      </c>
      <c r="BJ43" s="78">
        <f t="shared" si="15"/>
        <v>1.4972071898698547</v>
      </c>
      <c r="BK43" s="78">
        <f t="shared" si="15"/>
        <v>1.0887349806207738</v>
      </c>
      <c r="BL43" s="78">
        <f>SUM(AZ43:BK43)</f>
        <v>-45.360491765539955</v>
      </c>
    </row>
    <row r="44" spans="1:67" ht="15" x14ac:dyDescent="0.35">
      <c r="A44" s="38">
        <f>Res!A44</f>
        <v>11</v>
      </c>
      <c r="B44" s="66" t="str">
        <f>Res!B44</f>
        <v>(Over)/Under Ending Balance</v>
      </c>
      <c r="C44" s="79">
        <v>-13379.808470884624</v>
      </c>
      <c r="D44" s="79">
        <f>C44+D42+D43</f>
        <v>-14077.907211502172</v>
      </c>
      <c r="E44" s="79">
        <f>D44+E42+E43</f>
        <v>-14503.887301706589</v>
      </c>
      <c r="F44" s="79">
        <f>E44+F42+F43</f>
        <v>-14101.886840148602</v>
      </c>
      <c r="G44" s="79">
        <f t="shared" ref="G44:O44" si="16">F44+G42+G43</f>
        <v>-14885.923254096575</v>
      </c>
      <c r="H44" s="79">
        <f t="shared" si="16"/>
        <v>-13987.293168030001</v>
      </c>
      <c r="I44" s="79">
        <f t="shared" si="16"/>
        <v>-15249.686033686385</v>
      </c>
      <c r="J44" s="79">
        <f t="shared" si="16"/>
        <v>-14467.043427254752</v>
      </c>
      <c r="K44" s="79">
        <f t="shared" si="16"/>
        <v>-13327.078654861389</v>
      </c>
      <c r="L44" s="79">
        <f t="shared" si="16"/>
        <v>-12711.81818943781</v>
      </c>
      <c r="M44" s="79">
        <f t="shared" si="16"/>
        <v>-11453.706390268324</v>
      </c>
      <c r="N44" s="79">
        <f t="shared" si="16"/>
        <v>-9563.3174049920253</v>
      </c>
      <c r="O44" s="79">
        <f t="shared" si="16"/>
        <v>-2357.5531807565894</v>
      </c>
      <c r="P44" s="79"/>
      <c r="Q44" s="38">
        <f>Res!Q44</f>
        <v>13</v>
      </c>
      <c r="R44" s="66" t="str">
        <f>Res!R44</f>
        <v>(Over)/Under Ending Balance</v>
      </c>
      <c r="S44" s="79">
        <f>O44</f>
        <v>-2357.5531807565894</v>
      </c>
      <c r="T44" s="79">
        <f t="shared" ref="T44:AE44" si="17">S44+T42+T43</f>
        <v>-2340.9571072086142</v>
      </c>
      <c r="U44" s="79">
        <f t="shared" si="17"/>
        <v>-4029.1579066566164</v>
      </c>
      <c r="V44" s="79">
        <f t="shared" si="17"/>
        <v>-4501.9732242047876</v>
      </c>
      <c r="W44" s="79">
        <f t="shared" si="17"/>
        <v>-4807.9530592061874</v>
      </c>
      <c r="X44" s="79">
        <f t="shared" si="17"/>
        <v>-5319.6758211242513</v>
      </c>
      <c r="Y44" s="79">
        <f t="shared" si="17"/>
        <v>-5595.7929848022213</v>
      </c>
      <c r="Z44" s="79">
        <f t="shared" si="17"/>
        <v>-5816.5553363294111</v>
      </c>
      <c r="AA44" s="79">
        <f t="shared" si="17"/>
        <v>-5642.1567114370846</v>
      </c>
      <c r="AB44" s="79">
        <f t="shared" si="17"/>
        <v>-5861.381624583657</v>
      </c>
      <c r="AC44" s="79">
        <f t="shared" si="17"/>
        <v>-6775.0834589715041</v>
      </c>
      <c r="AD44" s="79">
        <f t="shared" si="17"/>
        <v>-7092.6603246230752</v>
      </c>
      <c r="AE44" s="79">
        <f t="shared" si="17"/>
        <v>-6311.2351541967482</v>
      </c>
      <c r="AF44" s="79"/>
      <c r="AG44" s="38">
        <f>Res!AG44</f>
        <v>12</v>
      </c>
      <c r="AH44" s="66" t="str">
        <f>Res!AH44</f>
        <v>(Over)/Under Ending Balance</v>
      </c>
      <c r="AI44" s="79">
        <f>AE44</f>
        <v>-6311.2351541967482</v>
      </c>
      <c r="AJ44" s="79">
        <f t="shared" ref="AJ44:AR44" si="18">AI44+AJ42+AJ43</f>
        <v>-6092.417909128364</v>
      </c>
      <c r="AK44" s="79">
        <f t="shared" si="18"/>
        <v>-6595.0600797343141</v>
      </c>
      <c r="AL44" s="79">
        <f t="shared" si="18"/>
        <v>-7907.4338370447413</v>
      </c>
      <c r="AM44" s="79">
        <f t="shared" si="18"/>
        <v>-7517.4776211894878</v>
      </c>
      <c r="AN44" s="79">
        <f t="shared" si="18"/>
        <v>-9364.384162970131</v>
      </c>
      <c r="AO44" s="79">
        <f t="shared" si="18"/>
        <v>-9799.9885871339593</v>
      </c>
      <c r="AP44" s="79">
        <f t="shared" si="18"/>
        <v>-9519.9067881355386</v>
      </c>
      <c r="AQ44" s="79">
        <f t="shared" si="18"/>
        <v>-10041.145842493233</v>
      </c>
      <c r="AR44" s="79">
        <f t="shared" si="18"/>
        <v>-12201.404388478084</v>
      </c>
      <c r="AS44" s="79">
        <f>AR44+AS42+AS43</f>
        <v>-9524.392366066284</v>
      </c>
      <c r="AT44" s="79">
        <f>AS44+AT42+AT43</f>
        <v>-6840.4870376967738</v>
      </c>
      <c r="AU44" s="79">
        <f>AT44+AU42+AU43</f>
        <v>-5085.1084545002814</v>
      </c>
      <c r="AV44" s="79"/>
      <c r="AW44" s="38">
        <f>Res!AW44</f>
        <v>12</v>
      </c>
      <c r="AX44" s="66" t="str">
        <f>Res!AX44</f>
        <v>(Over)/Under Ending Balance</v>
      </c>
      <c r="AY44" s="79">
        <f>AU44</f>
        <v>-5085.1084545002814</v>
      </c>
      <c r="AZ44" s="79">
        <f t="shared" ref="AZ44:BK44" si="19">AY44+AZ42+AZ43</f>
        <v>-3493.2672922657821</v>
      </c>
      <c r="BA44" s="79">
        <f t="shared" si="19"/>
        <v>-2974.0407549313245</v>
      </c>
      <c r="BB44" s="79">
        <f t="shared" si="19"/>
        <v>-2753.8737048408229</v>
      </c>
      <c r="BC44" s="79">
        <f t="shared" si="19"/>
        <v>-2232.7432290187462</v>
      </c>
      <c r="BD44" s="79">
        <f t="shared" si="19"/>
        <v>-1710.2708422214275</v>
      </c>
      <c r="BE44" s="79">
        <f t="shared" si="19"/>
        <v>-1486.8495846056978</v>
      </c>
      <c r="BF44" s="79">
        <f t="shared" si="19"/>
        <v>-962.45652167401545</v>
      </c>
      <c r="BG44" s="79">
        <f t="shared" si="19"/>
        <v>-436.71314660528395</v>
      </c>
      <c r="BH44" s="79">
        <f t="shared" si="19"/>
        <v>-210.01247792334266</v>
      </c>
      <c r="BI44" s="79">
        <f t="shared" si="19"/>
        <v>317.66844055804677</v>
      </c>
      <c r="BJ44" s="79">
        <f t="shared" si="19"/>
        <v>846.70813740452581</v>
      </c>
      <c r="BK44" s="79">
        <f t="shared" si="19"/>
        <v>-3.1661340216260214E-12</v>
      </c>
      <c r="BL44" s="79"/>
    </row>
    <row r="45" spans="1:67" x14ac:dyDescent="0.2">
      <c r="A45" s="38">
        <f>Res!A45</f>
        <v>12</v>
      </c>
      <c r="B45" s="66" t="str">
        <f>Res!B45</f>
        <v>Interest Rate Applied to Deferral Balance</v>
      </c>
      <c r="C45" s="80"/>
      <c r="D45" s="81">
        <f>Res!D45</f>
        <v>4.2900000000000001E-2</v>
      </c>
      <c r="E45" s="81">
        <f>Res!E45</f>
        <v>4.3299999999999998E-2</v>
      </c>
      <c r="F45" s="81">
        <f>Res!F45</f>
        <v>4.2500000000000003E-2</v>
      </c>
      <c r="G45" s="81">
        <f>Res!G45</f>
        <v>4.24E-2</v>
      </c>
      <c r="H45" s="81">
        <f>Res!H45</f>
        <v>4.0800000000000003E-2</v>
      </c>
      <c r="I45" s="81">
        <f>Res!I45</f>
        <v>4.53E-2</v>
      </c>
      <c r="J45" s="81">
        <f>Res!J45</f>
        <v>4.41E-2</v>
      </c>
      <c r="K45" s="81">
        <f>Res!K45</f>
        <v>3.9199999999999999E-2</v>
      </c>
      <c r="L45" s="81">
        <f>Res!L45</f>
        <v>4.2200000000000001E-2</v>
      </c>
      <c r="M45" s="81">
        <f>Res!M45</f>
        <v>4.1399999999999999E-2</v>
      </c>
      <c r="N45" s="81">
        <f>Res!N45</f>
        <v>3.78E-2</v>
      </c>
      <c r="O45" s="81">
        <f>Res!O45</f>
        <v>4.1300000000000003E-2</v>
      </c>
      <c r="P45" s="82"/>
      <c r="Q45" s="38">
        <f>Res!Q45</f>
        <v>14</v>
      </c>
      <c r="R45" s="66" t="str">
        <f>Res!R45</f>
        <v>Interest Rate Applied to Deferral Balance</v>
      </c>
      <c r="S45" s="80"/>
      <c r="T45" s="81">
        <f>Res!T45</f>
        <v>3.9600000000000003E-2</v>
      </c>
      <c r="U45" s="81">
        <f>Res!U45</f>
        <v>2.9600000000000001E-2</v>
      </c>
      <c r="V45" s="81">
        <f>Res!V45</f>
        <v>3.8100000000000002E-2</v>
      </c>
      <c r="W45" s="81">
        <f>Res!W45</f>
        <v>3.7199999999999997E-2</v>
      </c>
      <c r="X45" s="81">
        <f>Res!X45</f>
        <v>3.5700000000000003E-2</v>
      </c>
      <c r="Y45" s="81">
        <f>Res!Y45</f>
        <v>3.7100000000000001E-2</v>
      </c>
      <c r="Z45" s="81">
        <f>Res!Z45</f>
        <v>3.5200000000000002E-2</v>
      </c>
      <c r="AA45" s="81">
        <f>Res!AA45</f>
        <v>3.4099999999999998E-2</v>
      </c>
      <c r="AB45" s="81">
        <f>Res!AB45</f>
        <v>3.61E-2</v>
      </c>
      <c r="AC45" s="81">
        <f>Res!AC45</f>
        <v>3.2800000000000003E-2</v>
      </c>
      <c r="AD45" s="81">
        <f>Res!AD45</f>
        <v>3.6200000000000003E-2</v>
      </c>
      <c r="AE45" s="81">
        <f>Res!AE45</f>
        <v>3.2899999999999999E-2</v>
      </c>
      <c r="AF45" s="82"/>
      <c r="AG45" s="38">
        <f>Res!AG45</f>
        <v>13</v>
      </c>
      <c r="AH45" s="66" t="str">
        <f>Res!AH45</f>
        <v>Interest Rate Applied to Deferral Balance</v>
      </c>
      <c r="AI45" s="80"/>
      <c r="AJ45" s="81">
        <f>Res!AJ45</f>
        <v>3.1600000000000003E-2</v>
      </c>
      <c r="AK45" s="81">
        <f>Res!AK45</f>
        <v>3.2800000000000003E-2</v>
      </c>
      <c r="AL45" s="81">
        <f>Res!AL45</f>
        <v>3.2500000000000001E-2</v>
      </c>
      <c r="AM45" s="81">
        <f>Res!AM45</f>
        <v>3.1300000000000001E-2</v>
      </c>
      <c r="AN45" s="81">
        <f>Res!AN45</f>
        <v>3.0499999999999999E-2</v>
      </c>
      <c r="AO45" s="81">
        <f>Res!AO45</f>
        <v>3.09E-2</v>
      </c>
      <c r="AP45" s="81">
        <f>Res!AP45</f>
        <v>2.9100000000000001E-2</v>
      </c>
      <c r="AQ45" s="81">
        <f>Res!AQ45</f>
        <v>3.2800000000000003E-2</v>
      </c>
      <c r="AR45" s="81">
        <f>Res!AR45</f>
        <v>3.0800000000000001E-2</v>
      </c>
      <c r="AS45" s="81">
        <f>Res!AS45</f>
        <v>3.09E-2</v>
      </c>
      <c r="AT45" s="81">
        <f>Res!AT45</f>
        <v>3.09E-2</v>
      </c>
      <c r="AU45" s="81">
        <f>Res!AU45</f>
        <v>3.09E-2</v>
      </c>
      <c r="AV45" s="80"/>
      <c r="AW45" s="38">
        <f>Res!AW45</f>
        <v>13</v>
      </c>
      <c r="AX45" s="66" t="str">
        <f>Res!AX45</f>
        <v>Interest Rate Applied to Deferral Balance</v>
      </c>
      <c r="AY45" s="80"/>
      <c r="AZ45" s="81">
        <f>Res!AZ45</f>
        <v>3.09E-2</v>
      </c>
      <c r="BA45" s="81">
        <f>Res!BA45</f>
        <v>3.09E-2</v>
      </c>
      <c r="BB45" s="81">
        <f>Res!BB45</f>
        <v>3.09E-2</v>
      </c>
      <c r="BC45" s="81">
        <f>Res!BC45</f>
        <v>3.09E-2</v>
      </c>
      <c r="BD45" s="81">
        <f>Res!BD45</f>
        <v>3.09E-2</v>
      </c>
      <c r="BE45" s="81">
        <f>Res!BE45</f>
        <v>3.09E-2</v>
      </c>
      <c r="BF45" s="81">
        <f>Res!BF45</f>
        <v>3.09E-2</v>
      </c>
      <c r="BG45" s="81">
        <f>Res!BG45</f>
        <v>3.09E-2</v>
      </c>
      <c r="BH45" s="81">
        <f>Res!BH45</f>
        <v>3.09E-2</v>
      </c>
      <c r="BI45" s="81">
        <f>Res!BI45</f>
        <v>3.09E-2</v>
      </c>
      <c r="BJ45" s="81">
        <f>Res!BJ45</f>
        <v>3.09E-2</v>
      </c>
      <c r="BK45" s="81">
        <f>Res!BK45</f>
        <v>3.09E-2</v>
      </c>
      <c r="BL45" s="80"/>
    </row>
    <row r="46" spans="1:67" x14ac:dyDescent="0.2">
      <c r="A46" s="38"/>
      <c r="B46" s="83"/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2"/>
      <c r="Q46" s="38"/>
      <c r="R46" s="83"/>
      <c r="S46" s="82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2"/>
      <c r="AG46" s="38"/>
      <c r="AH46" s="83"/>
      <c r="AI46" s="82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2"/>
      <c r="AW46" s="38"/>
      <c r="AX46" s="83"/>
      <c r="AY46" s="82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2"/>
    </row>
    <row r="47" spans="1:67" s="83" customFormat="1" x14ac:dyDescent="0.2">
      <c r="A47" s="38"/>
      <c r="B47" s="12" t="str">
        <f>Res!B47</f>
        <v>*Sector portion of revenues are allocated based on forecasted 2024 kWh sales.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38"/>
      <c r="R47" s="12" t="str">
        <f>Res!R47</f>
        <v>*Sector portion of revenues are allocated based on forecasted 2025 kWh sales.</v>
      </c>
      <c r="S47" s="82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2"/>
      <c r="AG47" s="38"/>
      <c r="AH47" s="12" t="str">
        <f>Res!AH47</f>
        <v>*Sector portion of revenues are allocated based on forecasted 2026 kWh sales.</v>
      </c>
      <c r="AI47" s="82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2"/>
      <c r="AW47" s="38"/>
      <c r="AX47" s="12" t="str">
        <f>Res!AX47</f>
        <v>*Sector portion of revenues are allocated based on forecasted 2027 kWh sales.</v>
      </c>
      <c r="AY47" s="82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2"/>
    </row>
    <row r="48" spans="1:67" s="83" customFormat="1" x14ac:dyDescent="0.2">
      <c r="A48" s="38"/>
      <c r="B48" s="12" t="str">
        <f>Res!B48</f>
        <v>**Sector portion of revenues are allocated based on greenhouse gas reductions.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38"/>
      <c r="R48" s="12" t="str">
        <f>Res!R48</f>
        <v>**Sector portion of revenues are allocated based on greenhouse gas reductions.</v>
      </c>
      <c r="S48" s="82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2"/>
      <c r="AG48" s="38"/>
      <c r="AH48" s="12" t="str">
        <f>Res!AH48</f>
        <v>**Sector portion of revenues are allocated based on greenhouse gas reductions.</v>
      </c>
      <c r="AI48" s="82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2"/>
      <c r="AW48" s="38"/>
      <c r="AX48" s="12" t="str">
        <f>Res!AX48</f>
        <v>**Sector portion of revenues are allocated based on greenhouse gas reductions.</v>
      </c>
      <c r="AY48" s="82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2"/>
    </row>
    <row r="49" spans="1:64" s="83" customFormat="1" x14ac:dyDescent="0.2">
      <c r="A49" s="38"/>
      <c r="B49" s="12"/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2"/>
      <c r="Q49" s="38"/>
      <c r="R49" s="12"/>
      <c r="S49" s="82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2"/>
      <c r="AG49" s="38"/>
      <c r="AH49" s="12"/>
      <c r="AI49" s="82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2"/>
      <c r="AW49" s="38"/>
      <c r="AX49" s="12"/>
      <c r="AY49" s="82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2"/>
    </row>
    <row r="50" spans="1:64" s="83" customFormat="1" x14ac:dyDescent="0.2">
      <c r="A50" s="38"/>
      <c r="B50" s="46"/>
      <c r="C50" s="1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95"/>
      <c r="Q50" s="38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69"/>
      <c r="AG50" s="38"/>
      <c r="AI50" s="82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2"/>
      <c r="AW50" s="38"/>
      <c r="AY50" s="82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2"/>
    </row>
  </sheetData>
  <mergeCells count="16">
    <mergeCell ref="A25:P25"/>
    <mergeCell ref="Q25:AF25"/>
    <mergeCell ref="AG25:AV25"/>
    <mergeCell ref="AW25:BL25"/>
    <mergeCell ref="AG23:AV23"/>
    <mergeCell ref="AW23:BL23"/>
    <mergeCell ref="A24:P24"/>
    <mergeCell ref="Q24:AF24"/>
    <mergeCell ref="AG24:AV24"/>
    <mergeCell ref="AW24:BL24"/>
    <mergeCell ref="C1:J1"/>
    <mergeCell ref="C2:J2"/>
    <mergeCell ref="C3:J3"/>
    <mergeCell ref="R4:X4"/>
    <mergeCell ref="A23:P23"/>
    <mergeCell ref="Q23:AF23"/>
  </mergeCells>
  <pageMargins left="0.7" right="0.7" top="0.75" bottom="0.75" header="0.3" footer="0.3"/>
  <pageSetup scale="44" fitToWidth="5" orientation="landscape" r:id="rId1"/>
  <headerFooter>
    <oddHeader>&amp;R&amp;"Arial,Regular"&amp;10Cape Light Compact JPE
D.P.U. 26-146
Exhibit 2, EES Calculation
October 30, 2026
Page &amp;P of &amp;N</oddHeader>
  </headerFooter>
  <colBreaks count="4" manualBreakCount="4">
    <brk id="10" max="21" man="1"/>
    <brk id="16" min="22" max="47" man="1"/>
    <brk id="32" min="22" max="47" man="1"/>
    <brk id="48" min="22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E382-C70D-4726-8F60-385B9B1CE339}">
  <sheetPr codeName="Sheet39"/>
  <dimension ref="A1:BL31"/>
  <sheetViews>
    <sheetView showGridLines="0" zoomScaleNormal="100" workbookViewId="0">
      <selection sqref="A1:P1"/>
    </sheetView>
  </sheetViews>
  <sheetFormatPr defaultColWidth="9.140625" defaultRowHeight="12.75" x14ac:dyDescent="0.2"/>
  <cols>
    <col min="1" max="1" width="5.5703125" style="38" customWidth="1"/>
    <col min="2" max="2" width="46.28515625" style="12" customWidth="1"/>
    <col min="3" max="10" width="15" style="12" customWidth="1"/>
    <col min="11" max="11" width="16.28515625" style="12" customWidth="1"/>
    <col min="12" max="12" width="18.42578125" style="12" customWidth="1"/>
    <col min="13" max="13" width="18.5703125" style="12" customWidth="1"/>
    <col min="14" max="14" width="17" style="12" customWidth="1"/>
    <col min="15" max="15" width="15.5703125" style="12" customWidth="1"/>
    <col min="16" max="16" width="15" style="12" customWidth="1"/>
    <col min="17" max="17" width="5.5703125" style="12" customWidth="1"/>
    <col min="18" max="18" width="46.28515625" style="12" customWidth="1"/>
    <col min="19" max="26" width="15" style="12" customWidth="1"/>
    <col min="27" max="27" width="16.28515625" style="12" customWidth="1"/>
    <col min="28" max="28" width="18.42578125" style="12" customWidth="1"/>
    <col min="29" max="29" width="18.5703125" style="12" customWidth="1"/>
    <col min="30" max="30" width="17" style="12" customWidth="1"/>
    <col min="31" max="31" width="15.5703125" style="12" customWidth="1"/>
    <col min="32" max="32" width="15" style="12" customWidth="1"/>
    <col min="33" max="33" width="5.5703125" style="12" customWidth="1"/>
    <col min="34" max="34" width="46.28515625" style="12" customWidth="1"/>
    <col min="35" max="42" width="15" style="12" customWidth="1"/>
    <col min="43" max="43" width="16.28515625" style="12" customWidth="1"/>
    <col min="44" max="44" width="18.42578125" style="12" customWidth="1"/>
    <col min="45" max="45" width="18.5703125" style="12" customWidth="1"/>
    <col min="46" max="46" width="17" style="12" customWidth="1"/>
    <col min="47" max="47" width="15.5703125" style="12" customWidth="1"/>
    <col min="48" max="48" width="15" style="12" customWidth="1"/>
    <col min="49" max="49" width="5.5703125" style="12" customWidth="1"/>
    <col min="50" max="50" width="46.28515625" style="12" customWidth="1"/>
    <col min="51" max="58" width="15" style="12" customWidth="1"/>
    <col min="59" max="59" width="16.28515625" style="12" customWidth="1"/>
    <col min="60" max="60" width="18.42578125" style="12" customWidth="1"/>
    <col min="61" max="61" width="18.5703125" style="12" customWidth="1"/>
    <col min="62" max="62" width="17" style="12" customWidth="1"/>
    <col min="63" max="63" width="15.5703125" style="12" customWidth="1"/>
    <col min="64" max="64" width="15" style="12" customWidth="1"/>
    <col min="65" max="65" width="2.5703125" style="12" customWidth="1"/>
    <col min="66" max="66" width="11.140625" style="12" customWidth="1"/>
    <col min="67" max="67" width="14.5703125" style="12" bestFit="1" customWidth="1"/>
    <col min="68" max="16384" width="9.140625" style="12"/>
  </cols>
  <sheetData>
    <row r="1" spans="1:64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 t="s">
        <v>0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 t="s">
        <v>0</v>
      </c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 t="s">
        <v>0</v>
      </c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64" x14ac:dyDescent="0.2">
      <c r="A2" s="34" t="str">
        <f>Year1-1&amp;" Total Monthly EES Deferral"</f>
        <v>2024 Total Monthly EES Deferral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 t="str">
        <f>Year1&amp;" Total Monthly EES Deferral"</f>
        <v>2025 Total Monthly EES Deferral</v>
      </c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 t="str">
        <f>Year2&amp;" Total Monthly EES Deferral"</f>
        <v>2026 Total Monthly EES Deferral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 t="str">
        <f>Year3&amp;" Total Monthly EES Deferral"</f>
        <v>2027 Total Monthly EES Deferral</v>
      </c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</row>
    <row r="3" spans="1:64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 t="s">
        <v>1</v>
      </c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 t="s">
        <v>1</v>
      </c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 t="s">
        <v>1</v>
      </c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</row>
    <row r="4" spans="1:64" x14ac:dyDescent="0.2">
      <c r="A4" s="36"/>
      <c r="B4" s="35"/>
      <c r="C4" s="51" t="s">
        <v>8</v>
      </c>
      <c r="D4" s="71" t="s">
        <v>9</v>
      </c>
      <c r="E4" s="51" t="s">
        <v>10</v>
      </c>
      <c r="F4" s="53" t="s">
        <v>54</v>
      </c>
      <c r="G4" s="54" t="s">
        <v>55</v>
      </c>
      <c r="H4" s="53" t="s">
        <v>56</v>
      </c>
      <c r="I4" s="53" t="s">
        <v>57</v>
      </c>
      <c r="J4" s="53" t="s">
        <v>58</v>
      </c>
      <c r="K4" s="53" t="s">
        <v>74</v>
      </c>
      <c r="L4" s="72" t="s">
        <v>75</v>
      </c>
      <c r="M4" s="72" t="s">
        <v>76</v>
      </c>
      <c r="N4" s="72" t="s">
        <v>77</v>
      </c>
      <c r="O4" s="72" t="s">
        <v>78</v>
      </c>
      <c r="P4" s="72" t="s">
        <v>79</v>
      </c>
      <c r="Q4" s="36"/>
      <c r="R4" s="35"/>
      <c r="S4" s="51" t="s">
        <v>8</v>
      </c>
      <c r="T4" s="71" t="s">
        <v>9</v>
      </c>
      <c r="U4" s="51" t="s">
        <v>10</v>
      </c>
      <c r="V4" s="53" t="s">
        <v>54</v>
      </c>
      <c r="W4" s="54" t="s">
        <v>55</v>
      </c>
      <c r="X4" s="53" t="s">
        <v>56</v>
      </c>
      <c r="Y4" s="53" t="s">
        <v>57</v>
      </c>
      <c r="Z4" s="53" t="s">
        <v>58</v>
      </c>
      <c r="AA4" s="53" t="s">
        <v>74</v>
      </c>
      <c r="AB4" s="72" t="s">
        <v>75</v>
      </c>
      <c r="AC4" s="72" t="s">
        <v>76</v>
      </c>
      <c r="AD4" s="72" t="s">
        <v>77</v>
      </c>
      <c r="AE4" s="72" t="s">
        <v>78</v>
      </c>
      <c r="AF4" s="72" t="s">
        <v>79</v>
      </c>
      <c r="AG4" s="36"/>
      <c r="AH4" s="35"/>
      <c r="AI4" s="51" t="s">
        <v>8</v>
      </c>
      <c r="AJ4" s="71" t="s">
        <v>9</v>
      </c>
      <c r="AK4" s="51" t="s">
        <v>10</v>
      </c>
      <c r="AL4" s="53" t="s">
        <v>54</v>
      </c>
      <c r="AM4" s="54" t="s">
        <v>55</v>
      </c>
      <c r="AN4" s="53" t="s">
        <v>56</v>
      </c>
      <c r="AO4" s="53" t="s">
        <v>57</v>
      </c>
      <c r="AP4" s="53" t="s">
        <v>58</v>
      </c>
      <c r="AQ4" s="53" t="s">
        <v>74</v>
      </c>
      <c r="AR4" s="72" t="s">
        <v>75</v>
      </c>
      <c r="AS4" s="72" t="s">
        <v>76</v>
      </c>
      <c r="AT4" s="72" t="s">
        <v>77</v>
      </c>
      <c r="AU4" s="72" t="s">
        <v>78</v>
      </c>
      <c r="AV4" s="72" t="s">
        <v>79</v>
      </c>
      <c r="AW4" s="36"/>
      <c r="AX4" s="35"/>
      <c r="AY4" s="51" t="s">
        <v>8</v>
      </c>
      <c r="AZ4" s="71" t="s">
        <v>9</v>
      </c>
      <c r="BA4" s="51" t="s">
        <v>10</v>
      </c>
      <c r="BB4" s="53" t="s">
        <v>54</v>
      </c>
      <c r="BC4" s="73" t="s">
        <v>55</v>
      </c>
      <c r="BD4" s="53" t="s">
        <v>56</v>
      </c>
      <c r="BE4" s="53" t="s">
        <v>57</v>
      </c>
      <c r="BF4" s="53" t="s">
        <v>58</v>
      </c>
      <c r="BG4" s="53" t="s">
        <v>74</v>
      </c>
      <c r="BH4" s="72" t="s">
        <v>75</v>
      </c>
      <c r="BI4" s="72" t="s">
        <v>76</v>
      </c>
      <c r="BJ4" s="72" t="s">
        <v>77</v>
      </c>
      <c r="BK4" s="72" t="s">
        <v>78</v>
      </c>
      <c r="BL4" s="72" t="s">
        <v>79</v>
      </c>
    </row>
    <row r="5" spans="1:64" x14ac:dyDescent="0.2">
      <c r="C5" s="51" t="str">
        <f>Res!C27</f>
        <v>Actual</v>
      </c>
      <c r="D5" s="51" t="str">
        <f>Res!D27</f>
        <v>Actual</v>
      </c>
      <c r="E5" s="51" t="str">
        <f>Res!E27</f>
        <v>Actual</v>
      </c>
      <c r="F5" s="51" t="str">
        <f>Res!F27</f>
        <v>Actual</v>
      </c>
      <c r="G5" s="51" t="str">
        <f>Res!G27</f>
        <v>Actual</v>
      </c>
      <c r="H5" s="51" t="str">
        <f>Res!H27</f>
        <v>Actual</v>
      </c>
      <c r="I5" s="51" t="str">
        <f>Res!I27</f>
        <v>Actual</v>
      </c>
      <c r="J5" s="51" t="str">
        <f>Res!J27</f>
        <v>Actual</v>
      </c>
      <c r="K5" s="51" t="str">
        <f>Res!K27</f>
        <v>Actual</v>
      </c>
      <c r="L5" s="51" t="str">
        <f>Res!L27</f>
        <v>Actual</v>
      </c>
      <c r="M5" s="51" t="str">
        <f>Res!M27</f>
        <v>Actual</v>
      </c>
      <c r="N5" s="51" t="str">
        <f>Res!N27</f>
        <v>Actual</v>
      </c>
      <c r="O5" s="51" t="str">
        <f>Res!O27</f>
        <v>Actual</v>
      </c>
      <c r="P5" s="51"/>
      <c r="Q5" s="38"/>
      <c r="S5" s="51" t="str">
        <f>Res!S27</f>
        <v>Actual</v>
      </c>
      <c r="T5" s="51" t="str">
        <f>Res!T27</f>
        <v>Actual</v>
      </c>
      <c r="U5" s="51" t="str">
        <f>Res!U27</f>
        <v>Actual</v>
      </c>
      <c r="V5" s="51" t="str">
        <f>Res!V27</f>
        <v>Actual</v>
      </c>
      <c r="W5" s="51" t="str">
        <f>Res!W27</f>
        <v>Actual</v>
      </c>
      <c r="X5" s="51" t="str">
        <f>Res!X27</f>
        <v>Actual</v>
      </c>
      <c r="Y5" s="51" t="str">
        <f>Res!Y27</f>
        <v>Actual</v>
      </c>
      <c r="Z5" s="51" t="str">
        <f>Res!Z27</f>
        <v>Actual</v>
      </c>
      <c r="AA5" s="51" t="str">
        <f>Res!AA27</f>
        <v>Actual</v>
      </c>
      <c r="AB5" s="51" t="str">
        <f>Res!AB27</f>
        <v>Actual</v>
      </c>
      <c r="AC5" s="51" t="str">
        <f>Res!AC27</f>
        <v>Actual</v>
      </c>
      <c r="AD5" s="51" t="str">
        <f>Res!AD27</f>
        <v>Actual</v>
      </c>
      <c r="AE5" s="51" t="str">
        <f>Res!AE27</f>
        <v>Actual</v>
      </c>
      <c r="AF5" s="51"/>
      <c r="AG5" s="38"/>
      <c r="AI5" s="51" t="str">
        <f>Res!AI27</f>
        <v>Actual</v>
      </c>
      <c r="AJ5" s="51" t="str">
        <f>Res!AJ27</f>
        <v>Actual</v>
      </c>
      <c r="AK5" s="51" t="str">
        <f>Res!AK27</f>
        <v>Actual</v>
      </c>
      <c r="AL5" s="51" t="str">
        <f>Res!AL27</f>
        <v>Actual</v>
      </c>
      <c r="AM5" s="51" t="str">
        <f>Res!AM27</f>
        <v>Actual</v>
      </c>
      <c r="AN5" s="51" t="str">
        <f>Res!AN27</f>
        <v>Actual</v>
      </c>
      <c r="AO5" s="51" t="str">
        <f>Res!AO27</f>
        <v>Actual</v>
      </c>
      <c r="AP5" s="51" t="str">
        <f>Res!AP27</f>
        <v>Actual</v>
      </c>
      <c r="AQ5" s="51" t="str">
        <f>Res!AQ27</f>
        <v>Actual</v>
      </c>
      <c r="AR5" s="51" t="str">
        <f>Res!AR27</f>
        <v>Actual</v>
      </c>
      <c r="AS5" s="51" t="str">
        <f>Res!AS27</f>
        <v>Planned</v>
      </c>
      <c r="AT5" s="51" t="str">
        <f>Res!AT27</f>
        <v>Planned</v>
      </c>
      <c r="AU5" s="51" t="str">
        <f>Res!AU27</f>
        <v>Planned</v>
      </c>
      <c r="AV5" s="51"/>
      <c r="AW5" s="38"/>
      <c r="AY5" s="51" t="str">
        <f>Res!AY27</f>
        <v>Planned</v>
      </c>
      <c r="AZ5" s="51" t="str">
        <f>Res!AZ27</f>
        <v>Planned</v>
      </c>
      <c r="BA5" s="51" t="str">
        <f>Res!BA27</f>
        <v>Planned</v>
      </c>
      <c r="BB5" s="51" t="str">
        <f>Res!BB27</f>
        <v>Planned</v>
      </c>
      <c r="BC5" s="51" t="str">
        <f>Res!BC27</f>
        <v>Planned</v>
      </c>
      <c r="BD5" s="51" t="str">
        <f>Res!BD27</f>
        <v>Planned</v>
      </c>
      <c r="BE5" s="51" t="str">
        <f>Res!BE27</f>
        <v>Planned</v>
      </c>
      <c r="BF5" s="51" t="str">
        <f>Res!BF27</f>
        <v>Planned</v>
      </c>
      <c r="BG5" s="51" t="str">
        <f>Res!BG27</f>
        <v>Planned</v>
      </c>
      <c r="BH5" s="51" t="str">
        <f>Res!BH27</f>
        <v>Planned</v>
      </c>
      <c r="BI5" s="51" t="str">
        <f>Res!BI27</f>
        <v>Planned</v>
      </c>
      <c r="BJ5" s="51" t="str">
        <f>Res!BJ27</f>
        <v>Planned</v>
      </c>
      <c r="BK5" s="51" t="str">
        <f>Res!BK27</f>
        <v>Planned</v>
      </c>
      <c r="BL5" s="51"/>
    </row>
    <row r="6" spans="1:64" ht="15" x14ac:dyDescent="0.35">
      <c r="A6" s="74" t="s">
        <v>2</v>
      </c>
      <c r="B6" s="75" t="s">
        <v>81</v>
      </c>
      <c r="C6" s="74">
        <f>Res!C28</f>
        <v>45261</v>
      </c>
      <c r="D6" s="74">
        <f>Res!D28</f>
        <v>45292</v>
      </c>
      <c r="E6" s="74">
        <f>Res!E28</f>
        <v>45323</v>
      </c>
      <c r="F6" s="74">
        <f>Res!F28</f>
        <v>45352</v>
      </c>
      <c r="G6" s="74">
        <f>Res!G28</f>
        <v>45383</v>
      </c>
      <c r="H6" s="74">
        <f>Res!H28</f>
        <v>45413</v>
      </c>
      <c r="I6" s="74">
        <f>Res!I28</f>
        <v>45444</v>
      </c>
      <c r="J6" s="74">
        <f>Res!J28</f>
        <v>45474</v>
      </c>
      <c r="K6" s="74">
        <f>Res!K28</f>
        <v>45505</v>
      </c>
      <c r="L6" s="74">
        <f>Res!L28</f>
        <v>45536</v>
      </c>
      <c r="M6" s="74">
        <f>Res!M28</f>
        <v>45566</v>
      </c>
      <c r="N6" s="74">
        <f>Res!N28</f>
        <v>45597</v>
      </c>
      <c r="O6" s="74">
        <f>Res!O28</f>
        <v>45627</v>
      </c>
      <c r="P6" s="74" t="s">
        <v>46</v>
      </c>
      <c r="Q6" s="74" t="s">
        <v>2</v>
      </c>
      <c r="R6" s="75" t="s">
        <v>81</v>
      </c>
      <c r="S6" s="74">
        <f>Res!S28</f>
        <v>45627</v>
      </c>
      <c r="T6" s="74">
        <f>Res!T28</f>
        <v>45658</v>
      </c>
      <c r="U6" s="74">
        <f>Res!U28</f>
        <v>45689</v>
      </c>
      <c r="V6" s="74">
        <f>Res!V28</f>
        <v>45717</v>
      </c>
      <c r="W6" s="74">
        <f>Res!W28</f>
        <v>45748</v>
      </c>
      <c r="X6" s="74">
        <f>Res!X28</f>
        <v>45778</v>
      </c>
      <c r="Y6" s="74">
        <f>Res!Y28</f>
        <v>45809</v>
      </c>
      <c r="Z6" s="74">
        <f>Res!Z28</f>
        <v>45839</v>
      </c>
      <c r="AA6" s="74">
        <f>Res!AA28</f>
        <v>45870</v>
      </c>
      <c r="AB6" s="74">
        <f>Res!AB28</f>
        <v>45901</v>
      </c>
      <c r="AC6" s="74">
        <f>Res!AC28</f>
        <v>45931</v>
      </c>
      <c r="AD6" s="74">
        <f>Res!AD28</f>
        <v>45962</v>
      </c>
      <c r="AE6" s="74">
        <f>Res!AE28</f>
        <v>45992</v>
      </c>
      <c r="AF6" s="74" t="s">
        <v>46</v>
      </c>
      <c r="AG6" s="74" t="s">
        <v>2</v>
      </c>
      <c r="AH6" s="75" t="s">
        <v>81</v>
      </c>
      <c r="AI6" s="74">
        <f>Res!AI28</f>
        <v>45992</v>
      </c>
      <c r="AJ6" s="74">
        <f>Res!AJ28</f>
        <v>46023</v>
      </c>
      <c r="AK6" s="74">
        <f>Res!AK28</f>
        <v>46054</v>
      </c>
      <c r="AL6" s="74">
        <f>Res!AL28</f>
        <v>46083</v>
      </c>
      <c r="AM6" s="74">
        <f>Res!AM28</f>
        <v>46114</v>
      </c>
      <c r="AN6" s="74">
        <f>Res!AN28</f>
        <v>46144</v>
      </c>
      <c r="AO6" s="74">
        <f>Res!AO28</f>
        <v>46175</v>
      </c>
      <c r="AP6" s="74">
        <f>Res!AP28</f>
        <v>46205</v>
      </c>
      <c r="AQ6" s="74">
        <f>Res!AQ28</f>
        <v>46236</v>
      </c>
      <c r="AR6" s="74">
        <f>Res!AR28</f>
        <v>46267</v>
      </c>
      <c r="AS6" s="74">
        <f>Res!AS28</f>
        <v>46297</v>
      </c>
      <c r="AT6" s="74">
        <f>Res!AT28</f>
        <v>46328</v>
      </c>
      <c r="AU6" s="74">
        <f>Res!AU28</f>
        <v>46358</v>
      </c>
      <c r="AV6" s="74" t="s">
        <v>46</v>
      </c>
      <c r="AW6" s="74" t="s">
        <v>2</v>
      </c>
      <c r="AX6" s="75" t="s">
        <v>81</v>
      </c>
      <c r="AY6" s="74">
        <f>Res!AY28</f>
        <v>46357</v>
      </c>
      <c r="AZ6" s="74">
        <f>Res!AZ28</f>
        <v>46388</v>
      </c>
      <c r="BA6" s="74">
        <f>Res!BA28</f>
        <v>46419</v>
      </c>
      <c r="BB6" s="74">
        <f>Res!BB28</f>
        <v>46448</v>
      </c>
      <c r="BC6" s="74">
        <f>Res!BC28</f>
        <v>46479</v>
      </c>
      <c r="BD6" s="74">
        <f>Res!BD28</f>
        <v>46509</v>
      </c>
      <c r="BE6" s="74">
        <f>Res!BE28</f>
        <v>46540</v>
      </c>
      <c r="BF6" s="74">
        <f>Res!BF28</f>
        <v>46570</v>
      </c>
      <c r="BG6" s="74">
        <f>Res!BG28</f>
        <v>46601</v>
      </c>
      <c r="BH6" s="74">
        <f>Res!BH28</f>
        <v>46632</v>
      </c>
      <c r="BI6" s="74">
        <f>Res!BI28</f>
        <v>46662</v>
      </c>
      <c r="BJ6" s="74">
        <f>Res!BJ28</f>
        <v>46693</v>
      </c>
      <c r="BK6" s="74">
        <f>Res!BK28</f>
        <v>46723</v>
      </c>
      <c r="BL6" s="74" t="s">
        <v>46</v>
      </c>
    </row>
    <row r="7" spans="1:64" x14ac:dyDescent="0.2">
      <c r="Q7" s="38"/>
      <c r="AG7" s="38"/>
      <c r="AW7" s="38"/>
    </row>
    <row r="8" spans="1:64" x14ac:dyDescent="0.2">
      <c r="A8" s="38">
        <f>Res!A30</f>
        <v>1</v>
      </c>
      <c r="B8" s="66" t="str">
        <f>Res!B30</f>
        <v>SBC Revenues</v>
      </c>
      <c r="C8" s="76"/>
      <c r="D8" s="77">
        <f>LI!D30+Res!D30+CI!D30</f>
        <v>0</v>
      </c>
      <c r="E8" s="77">
        <f>LI!E30+Res!E30+CI!E30</f>
        <v>-400.04399999999998</v>
      </c>
      <c r="F8" s="77">
        <f>LI!F30+Res!F30+CI!F30</f>
        <v>-400.04399999999998</v>
      </c>
      <c r="G8" s="77">
        <f>LI!G30+Res!G30+CI!G30</f>
        <v>-400.04399999999998</v>
      </c>
      <c r="H8" s="77">
        <f>LI!H30+Res!H30+CI!H30</f>
        <v>-400.04399999999998</v>
      </c>
      <c r="I8" s="77">
        <f>LI!I30+Res!I30+CI!I30</f>
        <v>-400.04399999999998</v>
      </c>
      <c r="J8" s="77">
        <f>LI!J30+Res!J30+CI!J30</f>
        <v>-400.04399999999998</v>
      </c>
      <c r="K8" s="77">
        <f>LI!K30+Res!K30+CI!K30</f>
        <v>-400.04399999999998</v>
      </c>
      <c r="L8" s="77">
        <f>LI!L30+Res!L30+CI!L30</f>
        <v>-800.08799999999997</v>
      </c>
      <c r="M8" s="77">
        <f>LI!M30+Res!M30+CI!M30</f>
        <v>-200.02199999999999</v>
      </c>
      <c r="N8" s="77">
        <f>LI!N30+Res!N30+CI!N30</f>
        <v>-400.04399999999998</v>
      </c>
      <c r="O8" s="77">
        <f>LI!O30+Res!O30+CI!O30</f>
        <v>-661.77576000000067</v>
      </c>
      <c r="P8" s="77">
        <f t="shared" ref="P8:P14" si="0">SUM(D8:O8)</f>
        <v>-4862.23776</v>
      </c>
      <c r="Q8" s="38">
        <v>1</v>
      </c>
      <c r="R8" s="66" t="str">
        <f>Res!R30</f>
        <v>SBC Revenues</v>
      </c>
      <c r="S8" s="76"/>
      <c r="T8" s="77">
        <f>LI!T30+Res!T30+CI!T30</f>
        <v>0</v>
      </c>
      <c r="U8" s="77">
        <f>LI!U30+Res!U30+CI!U30</f>
        <v>-396.77</v>
      </c>
      <c r="V8" s="77">
        <f>LI!V30+Res!V30+CI!V30</f>
        <v>-396.77</v>
      </c>
      <c r="W8" s="77">
        <f>LI!W30+Res!W30+CI!W30</f>
        <v>-396.77</v>
      </c>
      <c r="X8" s="77">
        <f>LI!X30+Res!X30+CI!X30</f>
        <v>-396.77</v>
      </c>
      <c r="Y8" s="77">
        <f>LI!Y30+Res!Y30+CI!Y30</f>
        <v>-396.77</v>
      </c>
      <c r="Z8" s="77">
        <f>LI!Z30+Res!Z30+CI!Z30</f>
        <v>-396.77</v>
      </c>
      <c r="AA8" s="77">
        <f>LI!AA30+Res!AA30+CI!AA30</f>
        <v>-422.76199999999994</v>
      </c>
      <c r="AB8" s="77">
        <f>LI!AB30+Res!AB30+CI!AB30</f>
        <v>-422.76199999999994</v>
      </c>
      <c r="AC8" s="77">
        <f>LI!AC30+Res!AC30+CI!AC30</f>
        <v>-422.76199999999994</v>
      </c>
      <c r="AD8" s="77">
        <f>LI!AD30+Res!AD30+CI!AD30</f>
        <v>-422.76199999999994</v>
      </c>
      <c r="AE8" s="77">
        <f>LI!AE30+Res!AE30+CI!AE30</f>
        <v>-818.32399999999996</v>
      </c>
      <c r="AF8" s="77">
        <f t="shared" ref="AF8:AF13" si="1">SUM(T8:AE8)</f>
        <v>-4889.9919999999984</v>
      </c>
      <c r="AG8" s="38">
        <v>1</v>
      </c>
      <c r="AH8" s="66" t="str">
        <f>Res!AH30</f>
        <v>SBC Revenues</v>
      </c>
      <c r="AI8" s="76"/>
      <c r="AJ8" s="77">
        <f>LI!AJ30+Res!AJ30+CI!AJ30</f>
        <v>0</v>
      </c>
      <c r="AK8" s="77">
        <f>LI!AK30+Res!AK30+CI!AK30</f>
        <v>-442.48799999999994</v>
      </c>
      <c r="AL8" s="77">
        <f>LI!AL30+Res!AL30+CI!AL30</f>
        <v>-442.48799999999994</v>
      </c>
      <c r="AM8" s="77">
        <f>LI!AM30+Res!AM30+CI!AM30</f>
        <v>-442.48799999999994</v>
      </c>
      <c r="AN8" s="77">
        <f>LI!AN30+Res!AN30+CI!AN30</f>
        <v>-442.48799999999994</v>
      </c>
      <c r="AO8" s="77">
        <f>LI!AO30+Res!AO30+CI!AO30</f>
        <v>-442.48799999999994</v>
      </c>
      <c r="AP8" s="77">
        <f>LI!AP30+Res!AP30+CI!AP30</f>
        <v>-442.48799999999994</v>
      </c>
      <c r="AQ8" s="77">
        <f>LI!AQ30+Res!AQ30+CI!AQ30</f>
        <v>-442.48799999999994</v>
      </c>
      <c r="AR8" s="77">
        <f>LI!AR30+Res!AR30+CI!AR30</f>
        <v>-442.48799999999994</v>
      </c>
      <c r="AS8" s="77">
        <f>LI!AS30+Res!AS30+CI!AS30</f>
        <v>-442.4866641049457</v>
      </c>
      <c r="AT8" s="77">
        <f>LI!AT30+Res!AT30+CI!AT30</f>
        <v>-442.4866641049457</v>
      </c>
      <c r="AU8" s="77">
        <f>LI!AU30+Res!AU30+CI!AU30</f>
        <v>-884.97332820989141</v>
      </c>
      <c r="AV8" s="77">
        <f t="shared" ref="AV8:AV18" si="2">SUM(AJ8:AU8)</f>
        <v>-5309.8506564197814</v>
      </c>
      <c r="AW8" s="38">
        <v>1</v>
      </c>
      <c r="AX8" s="66" t="str">
        <f>Res!AX30</f>
        <v>SBC Revenues</v>
      </c>
      <c r="AY8" s="76"/>
      <c r="AZ8" s="77">
        <f>LI!AZ30+Res!AZ30+CI!AZ30</f>
        <v>0</v>
      </c>
      <c r="BA8" s="77">
        <f>LI!BA30+Res!BA30+CI!BA30</f>
        <v>-377.54608835960391</v>
      </c>
      <c r="BB8" s="77">
        <f>LI!BB30+Res!BB30+CI!BB30</f>
        <v>-377.54608835960391</v>
      </c>
      <c r="BC8" s="77">
        <f>LI!BC30+Res!BC30+CI!BC30</f>
        <v>-377.54608835960391</v>
      </c>
      <c r="BD8" s="77">
        <f>LI!BD30+Res!BD30+CI!BD30</f>
        <v>-377.54608835960391</v>
      </c>
      <c r="BE8" s="77">
        <f>LI!BE30+Res!BE30+CI!BE30</f>
        <v>-377.54608835960391</v>
      </c>
      <c r="BF8" s="77">
        <f>LI!BF30+Res!BF30+CI!BF30</f>
        <v>-377.54608835960391</v>
      </c>
      <c r="BG8" s="77">
        <f>LI!BG30+Res!BG30+CI!BG30</f>
        <v>-377.54608835960391</v>
      </c>
      <c r="BH8" s="77">
        <f>LI!BH30+Res!BH30+CI!BH30</f>
        <v>-377.54608835960391</v>
      </c>
      <c r="BI8" s="77">
        <f>LI!BI30+Res!BI30+CI!BI30</f>
        <v>-377.54608835960391</v>
      </c>
      <c r="BJ8" s="77">
        <f>LI!BJ30+Res!BJ30+CI!BJ30</f>
        <v>-377.54608835960391</v>
      </c>
      <c r="BK8" s="77">
        <f>LI!BK30+Res!BK30+CI!BK30</f>
        <v>-755.09217671920783</v>
      </c>
      <c r="BL8" s="77">
        <f t="shared" ref="BL8:BL14" si="3">SUM(AZ8:BK8)</f>
        <v>-4530.5530603152465</v>
      </c>
    </row>
    <row r="9" spans="1:64" x14ac:dyDescent="0.2">
      <c r="A9" s="38">
        <f>Res!A31</f>
        <v>2</v>
      </c>
      <c r="B9" s="66" t="str">
        <f>Res!B31</f>
        <v>EES Revenues, 1/1/2024-6/30/2024</v>
      </c>
      <c r="C9" s="76"/>
      <c r="D9" s="77">
        <f>LI!D31+Res!D31+CI!D31</f>
        <v>0</v>
      </c>
      <c r="E9" s="77">
        <f>LI!E31+Res!E31+CI!E31</f>
        <v>-2639.35</v>
      </c>
      <c r="F9" s="77">
        <f>LI!F31+Res!F31+CI!F31</f>
        <v>-2639.35</v>
      </c>
      <c r="G9" s="77">
        <f>LI!G31+Res!G31+CI!G31</f>
        <v>-2639.35</v>
      </c>
      <c r="H9" s="77">
        <f>LI!H31+Res!H31+CI!H31</f>
        <v>-2639.35</v>
      </c>
      <c r="I9" s="77">
        <f>LI!I31+Res!I31+CI!I31</f>
        <v>-2639.35</v>
      </c>
      <c r="J9" s="77">
        <f>LI!J31+Res!J31+CI!J31</f>
        <v>-2639.35</v>
      </c>
      <c r="K9" s="77">
        <f>LI!K31+Res!K31+CI!K31</f>
        <v>0</v>
      </c>
      <c r="L9" s="77">
        <f>LI!L31+Res!L31+CI!L31</f>
        <v>0</v>
      </c>
      <c r="M9" s="77">
        <f>LI!M31+Res!M31+CI!M31</f>
        <v>0</v>
      </c>
      <c r="N9" s="77">
        <f>LI!N31+Res!N31+CI!N31</f>
        <v>0</v>
      </c>
      <c r="O9" s="77">
        <f>LI!O31+Res!O31+CI!O31</f>
        <v>0</v>
      </c>
      <c r="P9" s="98">
        <f t="shared" si="0"/>
        <v>-15836.1</v>
      </c>
      <c r="Q9" s="38">
        <v>2</v>
      </c>
      <c r="R9" s="66" t="str">
        <f>Res!R31</f>
        <v>EES Revenues, 1/1/2025-6/30/2025</v>
      </c>
      <c r="S9" s="76"/>
      <c r="T9" s="77">
        <f>LI!T31+Res!T31+CI!T31</f>
        <v>0</v>
      </c>
      <c r="U9" s="77">
        <f>LI!U31+Res!U31+CI!U31</f>
        <v>-7270.2759999999998</v>
      </c>
      <c r="V9" s="77">
        <f>LI!V31+Res!V31+CI!V31</f>
        <v>-7270.2759999999998</v>
      </c>
      <c r="W9" s="77">
        <f>LI!W31+Res!W31+CI!W31</f>
        <v>-7270.2759999999998</v>
      </c>
      <c r="X9" s="77">
        <f>LI!X31+Res!X31+CI!X31</f>
        <v>-7270.2759999999998</v>
      </c>
      <c r="Y9" s="77">
        <f>LI!Y31+Res!Y31+CI!Y31</f>
        <v>-7270.2759999999998</v>
      </c>
      <c r="Z9" s="77">
        <f>LI!Z31+Res!Z31+CI!Z31</f>
        <v>-7270.2759999999998</v>
      </c>
      <c r="AA9" s="77">
        <f>LI!AA31+Res!AA31+CI!AA31</f>
        <v>0</v>
      </c>
      <c r="AB9" s="77">
        <f>LI!AB31+Res!AB31+CI!AB31</f>
        <v>0</v>
      </c>
      <c r="AC9" s="77">
        <f>LI!AC31+Res!AC31+CI!AC31</f>
        <v>0</v>
      </c>
      <c r="AD9" s="77">
        <f>LI!AD31+Res!AD31+CI!AD31</f>
        <v>0</v>
      </c>
      <c r="AE9" s="77">
        <f>LI!AE31+Res!AE31+CI!AE31</f>
        <v>0</v>
      </c>
      <c r="AF9" s="77">
        <f t="shared" si="1"/>
        <v>-43621.655999999995</v>
      </c>
      <c r="AG9" s="38">
        <f t="shared" ref="AG9:AG14" si="4">AG8+1</f>
        <v>2</v>
      </c>
      <c r="AH9" s="66" t="str">
        <f>Res!AH31</f>
        <v>EES Revenues</v>
      </c>
      <c r="AI9" s="76"/>
      <c r="AJ9" s="77">
        <f>LI!AJ31+Res!AJ31+CI!AJ31</f>
        <v>0</v>
      </c>
      <c r="AK9" s="77">
        <f>LI!AK31+Res!AK31+CI!AK31</f>
        <v>-5635.0999999999985</v>
      </c>
      <c r="AL9" s="77">
        <f>LI!AL31+Res!AL31+CI!AL31</f>
        <v>-5635.0999999999985</v>
      </c>
      <c r="AM9" s="77">
        <f>LI!AM31+Res!AM31+CI!AM31</f>
        <v>-5635.0999999999985</v>
      </c>
      <c r="AN9" s="77">
        <f>LI!AN31+Res!AN31+CI!AN31</f>
        <v>-5635.0999999999985</v>
      </c>
      <c r="AO9" s="77">
        <f>LI!AO31+Res!AO31+CI!AO31</f>
        <v>-5635.0999999999985</v>
      </c>
      <c r="AP9" s="77">
        <f>LI!AP31+Res!AP31+CI!AP31</f>
        <v>-5635.0999999999985</v>
      </c>
      <c r="AQ9" s="77">
        <f>LI!AQ31+Res!AQ31+CI!AQ31</f>
        <v>-5635.0999999999985</v>
      </c>
      <c r="AR9" s="77">
        <f>LI!AR31+Res!AR31+CI!AR31</f>
        <v>-5635.0999999999985</v>
      </c>
      <c r="AS9" s="77">
        <f>LI!AS31+Res!AS31+CI!AS31</f>
        <v>-5635.1003438403004</v>
      </c>
      <c r="AT9" s="77">
        <f>LI!AT31+Res!AT31+CI!AT31</f>
        <v>-5635.1003438403004</v>
      </c>
      <c r="AU9" s="77">
        <f>LI!AU31+Res!AU31+CI!AU31</f>
        <v>-11270.200687680601</v>
      </c>
      <c r="AV9" s="77">
        <f t="shared" si="2"/>
        <v>-67621.201375361183</v>
      </c>
      <c r="AW9" s="38">
        <v>2</v>
      </c>
      <c r="AX9" s="66" t="str">
        <f>Res!AX31</f>
        <v>EES Revenues</v>
      </c>
      <c r="AY9" s="76"/>
      <c r="AZ9" s="77">
        <f>LI!AZ31+Res!AZ31+CI!AZ31</f>
        <v>0</v>
      </c>
      <c r="BA9" s="77">
        <f>LI!BA31+Res!BA31+CI!BA31</f>
        <v>-5934.0306819979542</v>
      </c>
      <c r="BB9" s="77">
        <f>LI!BB31+Res!BB31+CI!BB31</f>
        <v>-5934.0306819979542</v>
      </c>
      <c r="BC9" s="77">
        <f>LI!BC31+Res!BC31+CI!BC31</f>
        <v>-5934.0306819979542</v>
      </c>
      <c r="BD9" s="77">
        <f>LI!BD31+Res!BD31+CI!BD31</f>
        <v>-5934.0306819979542</v>
      </c>
      <c r="BE9" s="77">
        <f>LI!BE31+Res!BE31+CI!BE31</f>
        <v>-5934.0306819979542</v>
      </c>
      <c r="BF9" s="77">
        <f>LI!BF31+Res!BF31+CI!BF31</f>
        <v>-5934.0306819979542</v>
      </c>
      <c r="BG9" s="77">
        <f>LI!BG31+Res!BG31+CI!BG31</f>
        <v>-5934.0306819979542</v>
      </c>
      <c r="BH9" s="77">
        <f>LI!BH31+Res!BH31+CI!BH31</f>
        <v>-5934.0306819979542</v>
      </c>
      <c r="BI9" s="77">
        <f>LI!BI31+Res!BI31+CI!BI31</f>
        <v>-5934.0306819979542</v>
      </c>
      <c r="BJ9" s="77">
        <f>LI!BJ31+Res!BJ31+CI!BJ31</f>
        <v>-5934.0306819979542</v>
      </c>
      <c r="BK9" s="77">
        <f>LI!BK31+Res!BK31+CI!BK31</f>
        <v>-11868.061363995908</v>
      </c>
      <c r="BL9" s="77">
        <f t="shared" si="3"/>
        <v>-71208.368183975443</v>
      </c>
    </row>
    <row r="10" spans="1:64" x14ac:dyDescent="0.2">
      <c r="A10" s="38">
        <f>Res!A32</f>
        <v>3</v>
      </c>
      <c r="B10" s="66" t="str">
        <f>Res!B32</f>
        <v>EES Revenues, 7/1/2024-12/31/2024</v>
      </c>
      <c r="C10" s="76"/>
      <c r="D10" s="77">
        <f>LI!D32+Res!D32+CI!D32</f>
        <v>0</v>
      </c>
      <c r="E10" s="77">
        <f>LI!E32+Res!E32+CI!E32</f>
        <v>0</v>
      </c>
      <c r="F10" s="77">
        <f>LI!F32+Res!F32+CI!F32</f>
        <v>0</v>
      </c>
      <c r="G10" s="77">
        <f>LI!G32+Res!G32+CI!G32</f>
        <v>0</v>
      </c>
      <c r="H10" s="77">
        <f>LI!H32+Res!H32+CI!H32</f>
        <v>0</v>
      </c>
      <c r="I10" s="77">
        <f>LI!I32+Res!I32+CI!I32</f>
        <v>0</v>
      </c>
      <c r="J10" s="77">
        <f>LI!J32+Res!J32+CI!J32</f>
        <v>0</v>
      </c>
      <c r="K10" s="77">
        <f>LI!K32+Res!K32+CI!K32</f>
        <v>-2639.3500000000004</v>
      </c>
      <c r="L10" s="77">
        <f>LI!L32+Res!L32+CI!L32</f>
        <v>-10086.977999999999</v>
      </c>
      <c r="M10" s="77">
        <f>LI!M32+Res!M32+CI!M32</f>
        <v>-2585.27</v>
      </c>
      <c r="N10" s="77">
        <f>LI!N32+Res!N32+CI!N32</f>
        <v>-5170.54</v>
      </c>
      <c r="O10" s="77">
        <f>LI!O32+Res!O32+CI!O32</f>
        <v>-9337.3783900000017</v>
      </c>
      <c r="P10" s="98">
        <f t="shared" si="0"/>
        <v>-29819.516390000001</v>
      </c>
      <c r="Q10" s="38">
        <v>3</v>
      </c>
      <c r="R10" s="66" t="str">
        <f>Res!R32</f>
        <v>EES Revenues, 7/1/2025-12/31/2025</v>
      </c>
      <c r="S10" s="76"/>
      <c r="T10" s="77">
        <f>LI!T32+Res!T32+CI!T32</f>
        <v>0</v>
      </c>
      <c r="U10" s="77">
        <f>LI!U32+Res!U32+CI!U32</f>
        <v>0</v>
      </c>
      <c r="V10" s="77">
        <f>LI!V32+Res!V32+CI!V32</f>
        <v>0</v>
      </c>
      <c r="W10" s="77">
        <f>LI!W32+Res!W32+CI!W32</f>
        <v>0</v>
      </c>
      <c r="X10" s="77">
        <f>LI!X32+Res!X32+CI!X32</f>
        <v>0</v>
      </c>
      <c r="Y10" s="77">
        <f>LI!Y32+Res!Y32+CI!Y32</f>
        <v>0</v>
      </c>
      <c r="Z10" s="77">
        <f>LI!Z32+Res!Z32+CI!Z32</f>
        <v>0</v>
      </c>
      <c r="AA10" s="77">
        <f>LI!AA32+Res!AA32+CI!AA32</f>
        <v>-5402.6819999999998</v>
      </c>
      <c r="AB10" s="77">
        <f>LI!AB32+Res!AB32+CI!AB32</f>
        <v>-5402.6819999999998</v>
      </c>
      <c r="AC10" s="77">
        <f>LI!AC32+Res!AC32+CI!AC32</f>
        <v>-5402.6819999999998</v>
      </c>
      <c r="AD10" s="77">
        <f>LI!AD32+Res!AD32+CI!AD32</f>
        <v>-5402.6819999999998</v>
      </c>
      <c r="AE10" s="77">
        <f>LI!AE32+Res!AE32+CI!AE32</f>
        <v>-7098.3426799999997</v>
      </c>
      <c r="AF10" s="77">
        <f>SUM(T10:AE10)</f>
        <v>-28709.070679999997</v>
      </c>
      <c r="AG10" s="38"/>
      <c r="AH10" s="66"/>
      <c r="AI10" s="76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38"/>
      <c r="AX10" s="66"/>
      <c r="AY10" s="76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</row>
    <row r="11" spans="1:64" x14ac:dyDescent="0.2">
      <c r="A11" s="38">
        <f>Res!A33</f>
        <v>4</v>
      </c>
      <c r="B11" s="66" t="str">
        <f>Res!B33</f>
        <v>FCM Revenues*</v>
      </c>
      <c r="C11" s="76"/>
      <c r="D11" s="77">
        <f>LI!D33+Res!D33+CI!D33</f>
        <v>-74.984490000000022</v>
      </c>
      <c r="E11" s="77">
        <f>LI!E33+Res!E33+CI!E33</f>
        <v>-123.52578</v>
      </c>
      <c r="F11" s="77">
        <f>LI!F33+Res!F33+CI!F33</f>
        <v>-133.4821</v>
      </c>
      <c r="G11" s="77">
        <f>LI!G33+Res!G33+CI!G33</f>
        <v>-151.06935000000004</v>
      </c>
      <c r="H11" s="77">
        <f>LI!H33+Res!H33+CI!H33</f>
        <v>-115.62978000000001</v>
      </c>
      <c r="I11" s="77">
        <f>LI!I33+Res!I33+CI!I33</f>
        <v>-190.47018000000003</v>
      </c>
      <c r="J11" s="77">
        <f>LI!J33+Res!J33+CI!J33</f>
        <v>-242.25083999999998</v>
      </c>
      <c r="K11" s="77">
        <f>LI!K33+Res!K33+CI!K33</f>
        <v>-260.03449999999992</v>
      </c>
      <c r="L11" s="77">
        <f>LI!L33+Res!L33+CI!L33</f>
        <v>-230.37866</v>
      </c>
      <c r="M11" s="77">
        <f>LI!M33+Res!M33+CI!M33</f>
        <v>-239.65333999999996</v>
      </c>
      <c r="N11" s="77">
        <f>LI!N33+Res!N33+CI!N33</f>
        <v>-213.47406999999998</v>
      </c>
      <c r="O11" s="77">
        <f>LI!O33+Res!O33+CI!O33</f>
        <v>-371.84336000000002</v>
      </c>
      <c r="P11" s="98">
        <f>SUM(D11:O11)</f>
        <v>-2346.7964500000003</v>
      </c>
      <c r="Q11" s="38">
        <v>4</v>
      </c>
      <c r="R11" s="66" t="str">
        <f>Res!R33</f>
        <v>FCM Revenues*</v>
      </c>
      <c r="S11" s="76"/>
      <c r="T11" s="77">
        <f>LI!T33+Res!T33+CI!T33</f>
        <v>-155.21151999999995</v>
      </c>
      <c r="U11" s="77">
        <f>LI!U33+Res!U33+CI!U33</f>
        <v>-232.77328999999995</v>
      </c>
      <c r="V11" s="77">
        <f>LI!V33+Res!V33+CI!V33</f>
        <v>-226.72203999999996</v>
      </c>
      <c r="W11" s="77">
        <f>LI!W33+Res!W33+CI!W33</f>
        <v>-216.57992999999993</v>
      </c>
      <c r="X11" s="77">
        <f>LI!X33+Res!X33+CI!X33</f>
        <v>-230.40447999999998</v>
      </c>
      <c r="Y11" s="77">
        <f>LI!Y33+Res!Y33+CI!Y33</f>
        <v>-195.14281999999997</v>
      </c>
      <c r="Z11" s="77">
        <f>LI!Z33+Res!Z33+CI!Z33</f>
        <v>-131.95591999999999</v>
      </c>
      <c r="AA11" s="77">
        <f>LI!AA33+Res!AA33+CI!AA33</f>
        <v>-135.92198000000002</v>
      </c>
      <c r="AB11" s="77">
        <f>LI!AB33+Res!AB33+CI!AB33</f>
        <v>-128.23421999999997</v>
      </c>
      <c r="AC11" s="77">
        <f>LI!AC33+Res!AC33+CI!AC33</f>
        <v>-141.01451</v>
      </c>
      <c r="AD11" s="77">
        <f>LI!AD33+Res!AD33+CI!AD33</f>
        <v>-95.098869999999991</v>
      </c>
      <c r="AE11" s="77">
        <f>LI!AE33+Res!AE33+CI!AE33</f>
        <v>-144.76358000000002</v>
      </c>
      <c r="AF11" s="77">
        <f t="shared" si="1"/>
        <v>-2033.8231600000001</v>
      </c>
      <c r="AG11" s="38">
        <f>AG9+1</f>
        <v>3</v>
      </c>
      <c r="AH11" s="66" t="str">
        <f>Res!AH33</f>
        <v>FCM Revenues*</v>
      </c>
      <c r="AI11" s="76"/>
      <c r="AJ11" s="77">
        <f>LI!AJ33+Res!AJ33+CI!AJ33</f>
        <v>-139.57600000000002</v>
      </c>
      <c r="AK11" s="77">
        <f>LI!AK33+Res!AK33+CI!AK33</f>
        <v>-127.11237000000001</v>
      </c>
      <c r="AL11" s="77">
        <f>LI!AL33+Res!AL33+CI!AL33</f>
        <v>-129.96375000000003</v>
      </c>
      <c r="AM11" s="77">
        <f>LI!AM33+Res!AM33+CI!AM33</f>
        <v>-110.07891000000001</v>
      </c>
      <c r="AN11" s="77">
        <f>LI!AN33+Res!AN33+CI!AN33</f>
        <v>-117.21923000000001</v>
      </c>
      <c r="AO11" s="77">
        <f>LI!AO33+Res!AO33+CI!AO33</f>
        <v>-128.96602000000001</v>
      </c>
      <c r="AP11" s="77">
        <f>LI!AP33+Res!AP33+CI!AP33</f>
        <v>-119.81462999999999</v>
      </c>
      <c r="AQ11" s="77">
        <f>LI!AQ33+Res!AQ33+CI!AQ33</f>
        <v>-103.74219000000001</v>
      </c>
      <c r="AR11" s="77">
        <f>LI!AR33+Res!AR33+CI!AR33</f>
        <v>-97.418790000000001</v>
      </c>
      <c r="AS11" s="77">
        <f>LI!AS33+Res!AS33+CI!AS33</f>
        <v>-32.882266666666609</v>
      </c>
      <c r="AT11" s="77">
        <f>LI!AT33+Res!AT33+CI!AT33</f>
        <v>-32.882266666666609</v>
      </c>
      <c r="AU11" s="77">
        <f>LI!AU33+Res!AU33+CI!AU33</f>
        <v>-32.882266666666609</v>
      </c>
      <c r="AV11" s="77">
        <f t="shared" si="2"/>
        <v>-1172.5386899999996</v>
      </c>
      <c r="AW11" s="38">
        <f>AW9+1</f>
        <v>3</v>
      </c>
      <c r="AX11" s="66" t="str">
        <f>Res!AX33</f>
        <v>FCM Revenues*</v>
      </c>
      <c r="AY11" s="76"/>
      <c r="AZ11" s="77">
        <f>LI!AZ33+Res!AZ33+CI!AZ33</f>
        <v>-91.339482500000003</v>
      </c>
      <c r="BA11" s="77">
        <f>LI!BA33+Res!BA33+CI!BA33</f>
        <v>-91.339482500000003</v>
      </c>
      <c r="BB11" s="77">
        <f>LI!BB33+Res!BB33+CI!BB33</f>
        <v>-91.339482500000003</v>
      </c>
      <c r="BC11" s="77">
        <f>LI!BC33+Res!BC33+CI!BC33</f>
        <v>-91.339482500000003</v>
      </c>
      <c r="BD11" s="77">
        <f>LI!BD33+Res!BD33+CI!BD33</f>
        <v>-91.339482500000003</v>
      </c>
      <c r="BE11" s="77">
        <f>LI!BE33+Res!BE33+CI!BE33</f>
        <v>-91.339482500000003</v>
      </c>
      <c r="BF11" s="77">
        <f>LI!BF33+Res!BF33+CI!BF33</f>
        <v>-91.339482500000003</v>
      </c>
      <c r="BG11" s="77">
        <f>LI!BG33+Res!BG33+CI!BG33</f>
        <v>-91.339482500000003</v>
      </c>
      <c r="BH11" s="77">
        <f>LI!BH33+Res!BH33+CI!BH33</f>
        <v>-91.339482500000003</v>
      </c>
      <c r="BI11" s="77">
        <f>LI!BI33+Res!BI33+CI!BI33</f>
        <v>-91.339482500000003</v>
      </c>
      <c r="BJ11" s="77">
        <f>LI!BJ33+Res!BJ33+CI!BJ33</f>
        <v>-91.339482500000003</v>
      </c>
      <c r="BK11" s="77">
        <f>LI!BK33+Res!BK33+CI!BK33</f>
        <v>-91.339482500000003</v>
      </c>
      <c r="BL11" s="77">
        <f t="shared" si="3"/>
        <v>-1096.0737900000001</v>
      </c>
    </row>
    <row r="12" spans="1:64" x14ac:dyDescent="0.2">
      <c r="A12" s="38">
        <f>Res!A34</f>
        <v>5</v>
      </c>
      <c r="B12" s="66" t="str">
        <f>Res!B34</f>
        <v>RGGI Revenues**</v>
      </c>
      <c r="C12" s="76"/>
      <c r="D12" s="77">
        <f>LI!D34+Res!D34+CI!D34</f>
        <v>-1615.68091</v>
      </c>
      <c r="E12" s="77">
        <f>LI!E34+Res!E34+CI!E34</f>
        <v>0</v>
      </c>
      <c r="F12" s="77">
        <f>LI!F34+Res!F34+CI!F34</f>
        <v>0</v>
      </c>
      <c r="G12" s="77">
        <f>LI!G34+Res!G34+CI!G34</f>
        <v>-2056.2849200000001</v>
      </c>
      <c r="H12" s="77">
        <f>LI!H34+Res!H34+CI!H34</f>
        <v>0</v>
      </c>
      <c r="I12" s="77">
        <f>LI!I34+Res!I34+CI!I34</f>
        <v>-2946.8798299999999</v>
      </c>
      <c r="J12" s="77">
        <f>LI!J34+Res!J34+CI!J34</f>
        <v>0</v>
      </c>
      <c r="K12" s="77">
        <f>LI!K34+Res!K34+CI!K34</f>
        <v>0</v>
      </c>
      <c r="L12" s="77">
        <f>LI!L34+Res!L34+CI!L34</f>
        <v>0</v>
      </c>
      <c r="M12" s="77">
        <f>LI!M34+Res!M34+CI!M34</f>
        <v>0</v>
      </c>
      <c r="N12" s="77">
        <f>LI!N34+Res!N34+CI!N34</f>
        <v>-2443.3390800000002</v>
      </c>
      <c r="O12" s="77">
        <f>LI!O34+Res!O34+CI!O34</f>
        <v>0</v>
      </c>
      <c r="P12" s="98">
        <f t="shared" si="0"/>
        <v>-9062.1847400000006</v>
      </c>
      <c r="Q12" s="38">
        <v>5</v>
      </c>
      <c r="R12" s="66" t="str">
        <f>Res!R34</f>
        <v>RGGI Revenues**</v>
      </c>
      <c r="S12" s="76"/>
      <c r="T12" s="77">
        <f>LI!T34+Res!T34+CI!T34</f>
        <v>0</v>
      </c>
      <c r="U12" s="77">
        <f>LI!U34+Res!U34+CI!U34</f>
        <v>-2445.8649799999998</v>
      </c>
      <c r="V12" s="77">
        <f>LI!V34+Res!V34+CI!V34</f>
        <v>-2132.0000600000003</v>
      </c>
      <c r="W12" s="77">
        <f>LI!W34+Res!W34+CI!W34</f>
        <v>0</v>
      </c>
      <c r="X12" s="77">
        <f>LI!X34+Res!X34+CI!X34</f>
        <v>-1677.1816700000002</v>
      </c>
      <c r="Y12" s="77">
        <f>LI!Y34+Res!Y34+CI!Y34</f>
        <v>0</v>
      </c>
      <c r="Z12" s="77">
        <f>LI!Z34+Res!Z34+CI!Z34</f>
        <v>0</v>
      </c>
      <c r="AA12" s="77">
        <f>LI!AA34+Res!AA34+CI!AA34</f>
        <v>0</v>
      </c>
      <c r="AB12" s="77">
        <f>LI!AB34+Res!AB34+CI!AB34</f>
        <v>0</v>
      </c>
      <c r="AC12" s="77">
        <f>LI!AC34+Res!AC34+CI!AC34</f>
        <v>-2912.4199700000004</v>
      </c>
      <c r="AD12" s="77">
        <f>LI!AD34+Res!AD34+CI!AD34</f>
        <v>0</v>
      </c>
      <c r="AE12" s="77">
        <f>LI!AE34+Res!AE34+CI!AE34</f>
        <v>0</v>
      </c>
      <c r="AF12" s="77">
        <f t="shared" si="1"/>
        <v>-9167.4666800000014</v>
      </c>
      <c r="AG12" s="38">
        <f t="shared" si="4"/>
        <v>4</v>
      </c>
      <c r="AH12" s="66" t="str">
        <f>Res!AH34</f>
        <v>RGGI Revenues**</v>
      </c>
      <c r="AI12" s="76"/>
      <c r="AJ12" s="77">
        <f>LI!AJ34+Res!AJ34+CI!AJ34</f>
        <v>0</v>
      </c>
      <c r="AK12" s="77">
        <f>LI!AK34+Res!AK34+CI!AK34</f>
        <v>0</v>
      </c>
      <c r="AL12" s="77">
        <f>LI!AL34+Res!AL34+CI!AL34</f>
        <v>-3495.1951100000001</v>
      </c>
      <c r="AM12" s="77">
        <f>LI!AM34+Res!AM34+CI!AM34</f>
        <v>0</v>
      </c>
      <c r="AN12" s="77">
        <f>LI!AN34+Res!AN34+CI!AN34</f>
        <v>-6261.1656999999996</v>
      </c>
      <c r="AO12" s="77">
        <f>LI!AO34+Res!AO34+CI!AO34</f>
        <v>0</v>
      </c>
      <c r="AP12" s="77">
        <f>LI!AP34+Res!AP34+CI!AP34</f>
        <v>0</v>
      </c>
      <c r="AQ12" s="77">
        <f>LI!AQ34+Res!AQ34+CI!AQ34</f>
        <v>0</v>
      </c>
      <c r="AR12" s="77">
        <f>LI!AR34+Res!AR34+CI!AR34</f>
        <v>-6178.2845400000006</v>
      </c>
      <c r="AS12" s="77">
        <f>LI!AS34+Res!AS34+CI!AS34</f>
        <v>0</v>
      </c>
      <c r="AT12" s="77">
        <f>LI!AT34+Res!AT34+CI!AT34</f>
        <v>0</v>
      </c>
      <c r="AU12" s="77">
        <f>LI!AU34+Res!AU34+CI!AU34</f>
        <v>0</v>
      </c>
      <c r="AV12" s="77">
        <f t="shared" si="2"/>
        <v>-15934.645350000001</v>
      </c>
      <c r="AW12" s="38">
        <f>AW11+1</f>
        <v>4</v>
      </c>
      <c r="AX12" s="66" t="str">
        <f>Res!AX34</f>
        <v>RGGI Revenues**</v>
      </c>
      <c r="AY12" s="76"/>
      <c r="AZ12" s="77">
        <f>LI!AZ34+Res!AZ34+CI!AZ34</f>
        <v>0</v>
      </c>
      <c r="BA12" s="77">
        <f>LI!BA34+Res!BA34+CI!BA34</f>
        <v>0</v>
      </c>
      <c r="BB12" s="77">
        <f>LI!BB34+Res!BB34+CI!BB34</f>
        <v>-1153.8855092437418</v>
      </c>
      <c r="BC12" s="77">
        <f>LI!BC34+Res!BC34+CI!BC34</f>
        <v>0</v>
      </c>
      <c r="BD12" s="77">
        <f>LI!BD34+Res!BD34+CI!BD34</f>
        <v>0</v>
      </c>
      <c r="BE12" s="77">
        <f>LI!BE34+Res!BE34+CI!BE34</f>
        <v>-1153.8855092437418</v>
      </c>
      <c r="BF12" s="77">
        <f>LI!BF34+Res!BF34+CI!BF34</f>
        <v>0</v>
      </c>
      <c r="BG12" s="77">
        <f>LI!BG34+Res!BG34+CI!BG34</f>
        <v>0</v>
      </c>
      <c r="BH12" s="77">
        <f>LI!BH34+Res!BH34+CI!BH34</f>
        <v>-1153.8855092437418</v>
      </c>
      <c r="BI12" s="77">
        <f>LI!BI34+Res!BI34+CI!BI34</f>
        <v>0</v>
      </c>
      <c r="BJ12" s="77">
        <f>LI!BJ34+Res!BJ34+CI!BJ34</f>
        <v>0</v>
      </c>
      <c r="BK12" s="77">
        <f>LI!BK34+Res!BK34+CI!BK34</f>
        <v>-1153.8855092437418</v>
      </c>
      <c r="BL12" s="77">
        <f t="shared" si="3"/>
        <v>-4615.5420369749672</v>
      </c>
    </row>
    <row r="13" spans="1:64" ht="15" x14ac:dyDescent="0.35">
      <c r="A13" s="38">
        <f>Res!A35</f>
        <v>6</v>
      </c>
      <c r="B13" s="66" t="str">
        <f>Res!B35</f>
        <v>Other Revenues***</v>
      </c>
      <c r="C13" s="76"/>
      <c r="D13" s="78">
        <f>LI!D35+Res!D35+CI!D35</f>
        <v>0</v>
      </c>
      <c r="E13" s="78">
        <f>LI!E35+Res!E35+CI!E35</f>
        <v>0</v>
      </c>
      <c r="F13" s="78">
        <f>LI!F35+Res!F35+CI!F35</f>
        <v>0</v>
      </c>
      <c r="G13" s="78">
        <f>LI!G35+Res!G35+CI!G35</f>
        <v>0</v>
      </c>
      <c r="H13" s="78">
        <f>LI!H35+Res!H35+CI!H35</f>
        <v>0</v>
      </c>
      <c r="I13" s="78">
        <f>LI!I35+Res!I35+CI!I35</f>
        <v>0</v>
      </c>
      <c r="J13" s="78">
        <f>LI!J35+Res!J35+CI!J35</f>
        <v>0</v>
      </c>
      <c r="K13" s="78">
        <f>LI!K35+Res!K35+CI!K35</f>
        <v>0</v>
      </c>
      <c r="L13" s="78">
        <f>LI!L35+Res!L35+CI!L35</f>
        <v>-1.3397999999999999</v>
      </c>
      <c r="M13" s="78">
        <f>LI!M35+Res!M35+CI!M35</f>
        <v>0</v>
      </c>
      <c r="N13" s="78">
        <f>LI!N35+Res!N35+CI!N35</f>
        <v>0</v>
      </c>
      <c r="O13" s="78">
        <f>LI!O35+Res!O35+CI!O35</f>
        <v>-1.1172</v>
      </c>
      <c r="P13" s="99">
        <f t="shared" si="0"/>
        <v>-2.4569999999999999</v>
      </c>
      <c r="Q13" s="38">
        <v>6</v>
      </c>
      <c r="R13" s="66" t="str">
        <f>Res!R35</f>
        <v>Other Revenues***</v>
      </c>
      <c r="S13" s="76"/>
      <c r="T13" s="78">
        <f>LI!T35+Res!T35+CI!T35</f>
        <v>0</v>
      </c>
      <c r="U13" s="78">
        <f>LI!U35+Res!U35+CI!U35</f>
        <v>0</v>
      </c>
      <c r="V13" s="78">
        <f>LI!V35+Res!V35+CI!V35</f>
        <v>0</v>
      </c>
      <c r="W13" s="78">
        <f>LI!W35+Res!W35+CI!W35</f>
        <v>-1.5899999999999999</v>
      </c>
      <c r="X13" s="78">
        <f>LI!X35+Res!X35+CI!X35</f>
        <v>0</v>
      </c>
      <c r="Y13" s="78">
        <f>LI!Y35+Res!Y35+CI!Y35</f>
        <v>-1.131</v>
      </c>
      <c r="Z13" s="78">
        <f>LI!Z35+Res!Z35+CI!Z35</f>
        <v>0</v>
      </c>
      <c r="AA13" s="78">
        <f>LI!AA35+Res!AA35+CI!AA35</f>
        <v>-1.8620000000000001</v>
      </c>
      <c r="AB13" s="78">
        <f>LI!AB35+Res!AB35+CI!AB35</f>
        <v>0</v>
      </c>
      <c r="AC13" s="78">
        <f>LI!AC35+Res!AC35+CI!AC35</f>
        <v>0</v>
      </c>
      <c r="AD13" s="78">
        <f>LI!AD35+Res!AD35+CI!AD35</f>
        <v>-4.992</v>
      </c>
      <c r="AE13" s="78">
        <f>LI!AE35+Res!AE35+CI!AE35</f>
        <v>0</v>
      </c>
      <c r="AF13" s="78">
        <f t="shared" si="1"/>
        <v>-9.5749999999999993</v>
      </c>
      <c r="AG13" s="38">
        <f t="shared" si="4"/>
        <v>5</v>
      </c>
      <c r="AH13" s="66" t="str">
        <f>Res!AH35</f>
        <v>Other Revenues***</v>
      </c>
      <c r="AI13" s="76"/>
      <c r="AJ13" s="78">
        <f>LI!AJ35+Res!AJ35+CI!AJ35</f>
        <v>0</v>
      </c>
      <c r="AK13" s="78">
        <f>LI!AK35+Res!AK35+CI!AK35</f>
        <v>-4.9529999999999994</v>
      </c>
      <c r="AL13" s="78">
        <f>LI!AL35+Res!AL35+CI!AL35</f>
        <v>0</v>
      </c>
      <c r="AM13" s="78">
        <f>LI!AM35+Res!AM35+CI!AM35</f>
        <v>0</v>
      </c>
      <c r="AN13" s="78">
        <f>LI!AN35+Res!AN35+CI!AN35</f>
        <v>-1.9007999999999998</v>
      </c>
      <c r="AO13" s="78">
        <f>LI!AO35+Res!AO35+CI!AO35</f>
        <v>0</v>
      </c>
      <c r="AP13" s="78">
        <f>LI!AP35+Res!AP35+CI!AP35</f>
        <v>0</v>
      </c>
      <c r="AQ13" s="78">
        <f>LI!AQ35+Res!AQ35+CI!AQ35</f>
        <v>-2.23725</v>
      </c>
      <c r="AR13" s="78">
        <f>LI!AR35+Res!AR35+CI!AR35</f>
        <v>0</v>
      </c>
      <c r="AS13" s="78">
        <f>LI!AS35+Res!AS35+CI!AS35</f>
        <v>-16.4467</v>
      </c>
      <c r="AT13" s="78">
        <f>LI!AT35+Res!AT35+CI!AT35</f>
        <v>0</v>
      </c>
      <c r="AU13" s="78">
        <f>LI!AU35+Res!AU35+CI!AU35</f>
        <v>-3.17625</v>
      </c>
      <c r="AV13" s="78">
        <f t="shared" si="2"/>
        <v>-28.713999999999999</v>
      </c>
      <c r="AW13" s="38">
        <f>AW12+1</f>
        <v>5</v>
      </c>
      <c r="AX13" s="66" t="str">
        <f>Res!AX35</f>
        <v>Other Revenues***</v>
      </c>
      <c r="AY13" s="76"/>
      <c r="AZ13" s="78">
        <f>LI!AZ35+Res!AZ35+CI!AZ35</f>
        <v>0</v>
      </c>
      <c r="BA13" s="78">
        <f>LI!BA35+Res!BA35+CI!BA35</f>
        <v>0</v>
      </c>
      <c r="BB13" s="78">
        <f>LI!BB35+Res!BB35+CI!BB35</f>
        <v>-3.17625</v>
      </c>
      <c r="BC13" s="78">
        <f>LI!BC35+Res!BC35+CI!BC35</f>
        <v>0</v>
      </c>
      <c r="BD13" s="78">
        <f>LI!BD35+Res!BD35+CI!BD35</f>
        <v>0</v>
      </c>
      <c r="BE13" s="78">
        <f>LI!BE35+Res!BE35+CI!BE35</f>
        <v>-3.17625</v>
      </c>
      <c r="BF13" s="78">
        <f>LI!BF35+Res!BF35+CI!BF35</f>
        <v>0</v>
      </c>
      <c r="BG13" s="78">
        <f>LI!BG35+Res!BG35+CI!BG35</f>
        <v>0</v>
      </c>
      <c r="BH13" s="78">
        <f>LI!BH35+Res!BH35+CI!BH35</f>
        <v>-3.17625</v>
      </c>
      <c r="BI13" s="78">
        <f>LI!BI35+Res!BI35+CI!BI35</f>
        <v>0</v>
      </c>
      <c r="BJ13" s="78">
        <f>LI!BJ35+Res!BJ35+CI!BJ35</f>
        <v>0</v>
      </c>
      <c r="BK13" s="78">
        <f>LI!BK35+Res!BK35+CI!BK35</f>
        <v>-3.17625</v>
      </c>
      <c r="BL13" s="78">
        <f t="shared" si="3"/>
        <v>-12.705</v>
      </c>
    </row>
    <row r="14" spans="1:64" x14ac:dyDescent="0.2">
      <c r="A14" s="38">
        <f>Res!A36</f>
        <v>7</v>
      </c>
      <c r="B14" s="66" t="str">
        <f>Res!B36</f>
        <v>Total Energy Efficiency Revenues</v>
      </c>
      <c r="C14" s="76"/>
      <c r="D14" s="77">
        <f t="shared" ref="D14:N14" si="5">SUM(D8:D13)</f>
        <v>-1690.6654000000001</v>
      </c>
      <c r="E14" s="77">
        <f t="shared" si="5"/>
        <v>-3162.9197799999997</v>
      </c>
      <c r="F14" s="77">
        <f t="shared" si="5"/>
        <v>-3172.8761</v>
      </c>
      <c r="G14" s="77">
        <f t="shared" si="5"/>
        <v>-5246.74827</v>
      </c>
      <c r="H14" s="77">
        <f t="shared" si="5"/>
        <v>-3155.02378</v>
      </c>
      <c r="I14" s="77">
        <f t="shared" si="5"/>
        <v>-6176.7440099999994</v>
      </c>
      <c r="J14" s="77">
        <f t="shared" si="5"/>
        <v>-3281.6448399999999</v>
      </c>
      <c r="K14" s="77">
        <f t="shared" si="5"/>
        <v>-3299.4285</v>
      </c>
      <c r="L14" s="77">
        <f>SUM(L8:L13)</f>
        <v>-11118.784459999999</v>
      </c>
      <c r="M14" s="77">
        <f t="shared" si="5"/>
        <v>-3024.9453399999998</v>
      </c>
      <c r="N14" s="77">
        <f t="shared" si="5"/>
        <v>-8227.3971500000007</v>
      </c>
      <c r="O14" s="77">
        <f>SUM(O8:O13)</f>
        <v>-10372.114710000003</v>
      </c>
      <c r="P14" s="77">
        <f t="shared" si="0"/>
        <v>-61929.292339999993</v>
      </c>
      <c r="Q14" s="38">
        <v>7</v>
      </c>
      <c r="R14" s="66" t="str">
        <f>Res!R36</f>
        <v>Total Energy Efficiency Revenues</v>
      </c>
      <c r="S14" s="76"/>
      <c r="T14" s="77">
        <f t="shared" ref="T14:AE14" si="6">SUM(T8:T13)</f>
        <v>-155.21151999999995</v>
      </c>
      <c r="U14" s="77">
        <f t="shared" si="6"/>
        <v>-10345.68427</v>
      </c>
      <c r="V14" s="77">
        <f t="shared" si="6"/>
        <v>-10025.768100000001</v>
      </c>
      <c r="W14" s="77">
        <f t="shared" si="6"/>
        <v>-7885.2159300000003</v>
      </c>
      <c r="X14" s="77">
        <f t="shared" si="6"/>
        <v>-9574.6321500000013</v>
      </c>
      <c r="Y14" s="77">
        <f t="shared" si="6"/>
        <v>-7863.3198200000006</v>
      </c>
      <c r="Z14" s="77">
        <f t="shared" si="6"/>
        <v>-7799.0019200000006</v>
      </c>
      <c r="AA14" s="77">
        <f t="shared" si="6"/>
        <v>-5963.2279799999997</v>
      </c>
      <c r="AB14" s="77">
        <f t="shared" si="6"/>
        <v>-5953.6782199999998</v>
      </c>
      <c r="AC14" s="77">
        <f t="shared" si="6"/>
        <v>-8878.8784799999994</v>
      </c>
      <c r="AD14" s="77">
        <f t="shared" si="6"/>
        <v>-5925.5348699999995</v>
      </c>
      <c r="AE14" s="77">
        <f t="shared" si="6"/>
        <v>-8061.4302599999992</v>
      </c>
      <c r="AF14" s="77">
        <f>SUM(T14:AE14)</f>
        <v>-88431.583520000015</v>
      </c>
      <c r="AG14" s="38">
        <f t="shared" si="4"/>
        <v>6</v>
      </c>
      <c r="AH14" s="66" t="str">
        <f>Res!AH36</f>
        <v>Total Energy Efficiency Revenues</v>
      </c>
      <c r="AI14" s="76"/>
      <c r="AJ14" s="77">
        <f t="shared" ref="AJ14:AU14" si="7">SUM(AJ8:AJ13)</f>
        <v>-139.57600000000002</v>
      </c>
      <c r="AK14" s="77">
        <f t="shared" si="7"/>
        <v>-6209.6533699999991</v>
      </c>
      <c r="AL14" s="77">
        <f t="shared" si="7"/>
        <v>-9702.7468599999993</v>
      </c>
      <c r="AM14" s="77">
        <f t="shared" si="7"/>
        <v>-6187.666909999999</v>
      </c>
      <c r="AN14" s="77">
        <f t="shared" si="7"/>
        <v>-12457.873729999998</v>
      </c>
      <c r="AO14" s="77">
        <f t="shared" si="7"/>
        <v>-6206.5540199999987</v>
      </c>
      <c r="AP14" s="77">
        <f t="shared" si="7"/>
        <v>-6197.4026299999987</v>
      </c>
      <c r="AQ14" s="77">
        <f t="shared" si="7"/>
        <v>-6183.5674399999989</v>
      </c>
      <c r="AR14" s="77">
        <f t="shared" si="7"/>
        <v>-12353.29133</v>
      </c>
      <c r="AS14" s="77">
        <f t="shared" si="7"/>
        <v>-6126.915974611913</v>
      </c>
      <c r="AT14" s="77">
        <f t="shared" si="7"/>
        <v>-6110.4692746119126</v>
      </c>
      <c r="AU14" s="77">
        <f t="shared" si="7"/>
        <v>-12191.23253255716</v>
      </c>
      <c r="AV14" s="77">
        <f t="shared" si="2"/>
        <v>-90066.950071780971</v>
      </c>
      <c r="AW14" s="38">
        <f>AW13+1</f>
        <v>6</v>
      </c>
      <c r="AX14" s="66" t="str">
        <f>Res!AX36</f>
        <v>Total Energy Efficiency Revenues</v>
      </c>
      <c r="AY14" s="76"/>
      <c r="AZ14" s="77">
        <f t="shared" ref="AZ14:BK14" si="8">SUM(AZ8:AZ13)</f>
        <v>-91.339482500000003</v>
      </c>
      <c r="BA14" s="77">
        <f t="shared" si="8"/>
        <v>-6402.916252857558</v>
      </c>
      <c r="BB14" s="77">
        <f t="shared" si="8"/>
        <v>-7559.9780121013</v>
      </c>
      <c r="BC14" s="77">
        <f t="shared" si="8"/>
        <v>-6402.916252857558</v>
      </c>
      <c r="BD14" s="77">
        <f t="shared" si="8"/>
        <v>-6402.916252857558</v>
      </c>
      <c r="BE14" s="77">
        <f t="shared" si="8"/>
        <v>-7559.9780121013</v>
      </c>
      <c r="BF14" s="77">
        <f t="shared" si="8"/>
        <v>-6402.916252857558</v>
      </c>
      <c r="BG14" s="77">
        <f t="shared" si="8"/>
        <v>-6402.916252857558</v>
      </c>
      <c r="BH14" s="77">
        <f t="shared" si="8"/>
        <v>-7559.9780121013</v>
      </c>
      <c r="BI14" s="77">
        <f t="shared" si="8"/>
        <v>-6402.916252857558</v>
      </c>
      <c r="BJ14" s="77">
        <f t="shared" si="8"/>
        <v>-6402.916252857558</v>
      </c>
      <c r="BK14" s="77">
        <f t="shared" si="8"/>
        <v>-13871.554782458859</v>
      </c>
      <c r="BL14" s="77">
        <f t="shared" si="3"/>
        <v>-81463.24207126566</v>
      </c>
    </row>
    <row r="15" spans="1:64" x14ac:dyDescent="0.2">
      <c r="B15" s="66"/>
      <c r="C15" s="76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38"/>
      <c r="R15" s="66"/>
      <c r="S15" s="76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38"/>
      <c r="AH15" s="66"/>
      <c r="AI15" s="76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38"/>
      <c r="AX15" s="66"/>
      <c r="AY15" s="76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</row>
    <row r="16" spans="1:64" x14ac:dyDescent="0.2">
      <c r="B16" s="66"/>
      <c r="C16" s="76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38">
        <f>Res!Q38</f>
        <v>8</v>
      </c>
      <c r="R16" s="66" t="str">
        <f>Res!R38</f>
        <v>Energy Efficiency Expenditures - PA Models</v>
      </c>
      <c r="S16" s="76"/>
      <c r="T16" s="77">
        <f>LI!T38+Res!T38+CI!T38</f>
        <v>361.43722000000002</v>
      </c>
      <c r="U16" s="77">
        <f>LI!U38+Res!U38+CI!U38</f>
        <v>1758.4678699999999</v>
      </c>
      <c r="V16" s="77">
        <f>LI!V38+Res!V38+CI!V38</f>
        <v>5273.8160699999999</v>
      </c>
      <c r="W16" s="77">
        <f>LI!W38+Res!W38+CI!W38</f>
        <v>3241.4100600000002</v>
      </c>
      <c r="X16" s="77">
        <f>LI!X38+Res!X38+CI!X38</f>
        <v>6084.8332999999993</v>
      </c>
      <c r="Y16" s="77">
        <f>LI!Y38+Res!Y38+CI!Y38</f>
        <v>1415.5677499999999</v>
      </c>
      <c r="Z16" s="77">
        <f>LI!Z38+Res!Z38+CI!Z38</f>
        <v>5334.0751500000006</v>
      </c>
      <c r="AA16" s="77">
        <f>LI!AA38+Res!AA38+CI!AA38</f>
        <v>5734.1206200000006</v>
      </c>
      <c r="AB16" s="77">
        <f>LI!AB38+Res!AB38+CI!AB38</f>
        <v>2358.8480500000005</v>
      </c>
      <c r="AC16" s="77">
        <f>LI!AC38+Res!AC38+CI!AC38</f>
        <v>5015.6751399999994</v>
      </c>
      <c r="AD16" s="77">
        <f>LI!AD38+Res!AD38+CI!AD38</f>
        <v>3985.2693900000004</v>
      </c>
      <c r="AE16" s="77">
        <f>LI!AE38+Res!AE38+CI!AE38</f>
        <v>10752.57172</v>
      </c>
      <c r="AF16" s="77">
        <f>SUM(T16:AE16)</f>
        <v>51316.092339999996</v>
      </c>
      <c r="AG16" s="38">
        <f>Res!AG38</f>
        <v>7</v>
      </c>
      <c r="AH16" s="66" t="str">
        <f>Res!AH38</f>
        <v>Energy Efficiency Expenditures - PA Models</v>
      </c>
      <c r="AI16" s="76"/>
      <c r="AJ16" s="77">
        <f>LI!AJ38+Res!AJ38+CI!AJ38</f>
        <v>369.39807000000008</v>
      </c>
      <c r="AK16" s="77">
        <f>LI!AK38+Res!AK38+CI!AK38</f>
        <v>1155.1760499999996</v>
      </c>
      <c r="AL16" s="77">
        <f>LI!AL38+Res!AL38+CI!AL38</f>
        <v>5201.0570900000002</v>
      </c>
      <c r="AM16" s="77">
        <f>LI!AM38+Res!AM38+CI!AM38</f>
        <v>5807.2528199999997</v>
      </c>
      <c r="AN16" s="77">
        <f>LI!AN38+Res!AN38+CI!AN38</f>
        <v>3549.8110099999999</v>
      </c>
      <c r="AO16" s="77">
        <f>LI!AO38+Res!AO38+CI!AO38</f>
        <v>3429.9245900000001</v>
      </c>
      <c r="AP16" s="77">
        <f>LI!AP38+Res!AP38+CI!AP38</f>
        <v>3754.7583499999996</v>
      </c>
      <c r="AQ16" s="77">
        <f>LI!AQ38+Res!AQ38+CI!AQ38</f>
        <v>3098.9887900000003</v>
      </c>
      <c r="AR16" s="77">
        <f>LI!AR38+Res!AR38+CI!AR38</f>
        <v>3387.8559999999993</v>
      </c>
      <c r="AS16" s="77">
        <f>LI!AS38+Res!AS38+CI!AS38</f>
        <v>12472.640163333333</v>
      </c>
      <c r="AT16" s="77">
        <f>LI!AT38+Res!AT38+CI!AT38</f>
        <v>12472.640163333333</v>
      </c>
      <c r="AU16" s="77">
        <f>LI!AU38+Res!AU38+CI!AU38</f>
        <v>12472.640163333333</v>
      </c>
      <c r="AV16" s="77">
        <f>SUM(AJ16:AU16)</f>
        <v>67172.143259999997</v>
      </c>
      <c r="AW16" s="38">
        <f>Res!AW38</f>
        <v>7</v>
      </c>
      <c r="AX16" s="66" t="str">
        <f>Res!AX38</f>
        <v>Energy Efficiency Expenditures - PA Models</v>
      </c>
      <c r="AY16" s="76"/>
      <c r="AZ16" s="77">
        <f>LI!AZ38+Res!AZ38+CI!AZ38</f>
        <v>9167.6097744166655</v>
      </c>
      <c r="BA16" s="77">
        <f>LI!BA38+Res!BA38+CI!BA38</f>
        <v>9167.6097744166655</v>
      </c>
      <c r="BB16" s="77">
        <f>LI!BB38+Res!BB38+CI!BB38</f>
        <v>9167.6097744166655</v>
      </c>
      <c r="BC16" s="77">
        <f>LI!BC38+Res!BC38+CI!BC38</f>
        <v>9167.6097744166655</v>
      </c>
      <c r="BD16" s="77">
        <f>LI!BD38+Res!BD38+CI!BD38</f>
        <v>9167.6097744166655</v>
      </c>
      <c r="BE16" s="77">
        <f>LI!BE38+Res!BE38+CI!BE38</f>
        <v>9167.6097744166655</v>
      </c>
      <c r="BF16" s="77">
        <f>LI!BF38+Res!BF38+CI!BF38</f>
        <v>9167.6097744166655</v>
      </c>
      <c r="BG16" s="77">
        <f>LI!BG38+Res!BG38+CI!BG38</f>
        <v>9167.6097744166655</v>
      </c>
      <c r="BH16" s="77">
        <f>LI!BH38+Res!BH38+CI!BH38</f>
        <v>9167.6097744166655</v>
      </c>
      <c r="BI16" s="77">
        <f>LI!BI38+Res!BI38+CI!BI38</f>
        <v>9167.6097744166655</v>
      </c>
      <c r="BJ16" s="77">
        <f>LI!BJ38+Res!BJ38+CI!BJ38</f>
        <v>9167.6097744166655</v>
      </c>
      <c r="BK16" s="77">
        <f>LI!BK38+Res!BK38+CI!BK38</f>
        <v>9167.6097744166655</v>
      </c>
      <c r="BL16" s="77">
        <f>SUM(AZ16:BK16)</f>
        <v>110011.31729299996</v>
      </c>
    </row>
    <row r="17" spans="1:64" ht="15" x14ac:dyDescent="0.35">
      <c r="B17" s="66"/>
      <c r="C17" s="76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38">
        <f>Res!Q39</f>
        <v>9</v>
      </c>
      <c r="R17" s="66" t="str">
        <f>Res!R39</f>
        <v>Energy Efficiency Expenditures - Electrification Pool</v>
      </c>
      <c r="S17" s="76"/>
      <c r="T17" s="78">
        <f>LI!T39+Res!T39+CI!T39</f>
        <v>0</v>
      </c>
      <c r="U17" s="78">
        <f>LI!U39+Res!U39+CI!U39</f>
        <v>0</v>
      </c>
      <c r="V17" s="78">
        <f>LI!V39+Res!V39+CI!V39</f>
        <v>15.12196</v>
      </c>
      <c r="W17" s="78">
        <f>LI!W39+Res!W39+CI!W39</f>
        <v>11.4025</v>
      </c>
      <c r="X17" s="78">
        <f>LI!X39+Res!X39+CI!X39</f>
        <v>870.96321</v>
      </c>
      <c r="Y17" s="78">
        <f>LI!Y39+Res!Y39+CI!Y39</f>
        <v>495.96</v>
      </c>
      <c r="Z17" s="78">
        <f>LI!Z39+Res!Z39+CI!Z39</f>
        <v>740.76146999999992</v>
      </c>
      <c r="AA17" s="78">
        <f>LI!AA39+Res!AA39+CI!AA39</f>
        <v>2065.0591899999999</v>
      </c>
      <c r="AB17" s="78">
        <f>LI!AB39+Res!AB39+CI!AB39</f>
        <v>1332.3825899999999</v>
      </c>
      <c r="AC17" s="78">
        <f>LI!AC39+Res!AC39+CI!AC39</f>
        <v>1162.03595</v>
      </c>
      <c r="AD17" s="78">
        <f>LI!AD39+Res!AD39+CI!AD39</f>
        <v>926.43187999999998</v>
      </c>
      <c r="AE17" s="78">
        <f>LI!AE39+Res!AE39+CI!AE39</f>
        <v>3315.4540600000005</v>
      </c>
      <c r="AF17" s="78">
        <f>SUM(T17:AE17)</f>
        <v>10935.57281</v>
      </c>
      <c r="AG17" s="38">
        <f>Res!AG39</f>
        <v>8</v>
      </c>
      <c r="AH17" s="66" t="str">
        <f>Res!AH39</f>
        <v>Energy Efficiency Expenditures - Electrification Pool</v>
      </c>
      <c r="AI17" s="76"/>
      <c r="AJ17" s="78">
        <f>LI!AJ39+Res!AJ39+CI!AJ39</f>
        <v>1257.92686</v>
      </c>
      <c r="AK17" s="78">
        <f>LI!AK39+Res!AK39+CI!AK39</f>
        <v>917.42298000000005</v>
      </c>
      <c r="AL17" s="78">
        <f>LI!AL39+Res!AL39+CI!AL39</f>
        <v>924.45132999999998</v>
      </c>
      <c r="AM17" s="78">
        <f>LI!AM39+Res!AM39+CI!AM39</f>
        <v>695.6256699999999</v>
      </c>
      <c r="AN17" s="78">
        <f>LI!AN39+Res!AN39+CI!AN39</f>
        <v>611.83812</v>
      </c>
      <c r="AO17" s="78">
        <f>LI!AO39+Res!AO39+CI!AO39</f>
        <v>396.06018</v>
      </c>
      <c r="AP17" s="78">
        <f>LI!AP39+Res!AP39+CI!AP39</f>
        <v>713.23334</v>
      </c>
      <c r="AQ17" s="78">
        <f>LI!AQ39+Res!AQ39+CI!AQ39</f>
        <v>493.61009999999993</v>
      </c>
      <c r="AR17" s="78">
        <f>LI!AR39+Res!AR39+CI!AR39</f>
        <v>529.28983000000005</v>
      </c>
      <c r="AS17" s="78">
        <f>LI!AS39+Res!AS39+CI!AS39</f>
        <v>1522.448863333334</v>
      </c>
      <c r="AT17" s="78">
        <f>LI!AT39+Res!AT39+CI!AT39</f>
        <v>1522.448863333334</v>
      </c>
      <c r="AU17" s="78">
        <f>LI!AU39+Res!AU39+CI!AU39</f>
        <v>1522.448863333334</v>
      </c>
      <c r="AV17" s="78">
        <f>SUM(AJ17:AU17)</f>
        <v>11106.805</v>
      </c>
      <c r="AW17" s="38">
        <f>Res!AW39</f>
        <v>8</v>
      </c>
      <c r="AX17" s="66" t="str">
        <f>Res!AX39</f>
        <v>Energy Efficiency Expenditures - Electrification Pool</v>
      </c>
      <c r="AY17" s="76"/>
      <c r="AZ17" s="78">
        <f>LI!AZ39+Res!AZ39+CI!AZ39</f>
        <v>917.12051334082219</v>
      </c>
      <c r="BA17" s="78">
        <f>LI!BA39+Res!BA39+CI!BA39</f>
        <v>917.12051334082219</v>
      </c>
      <c r="BB17" s="78">
        <f>LI!BB39+Res!BB39+CI!BB39</f>
        <v>917.12051334082219</v>
      </c>
      <c r="BC17" s="78">
        <f>LI!BC39+Res!BC39+CI!BC39</f>
        <v>917.12051334082219</v>
      </c>
      <c r="BD17" s="78">
        <f>LI!BD39+Res!BD39+CI!BD39</f>
        <v>917.12051334082219</v>
      </c>
      <c r="BE17" s="78">
        <f>LI!BE39+Res!BE39+CI!BE39</f>
        <v>917.12051334082219</v>
      </c>
      <c r="BF17" s="78">
        <f>LI!BF39+Res!BF39+CI!BF39</f>
        <v>917.12051334082219</v>
      </c>
      <c r="BG17" s="78">
        <f>LI!BG39+Res!BG39+CI!BG39</f>
        <v>917.12051334082219</v>
      </c>
      <c r="BH17" s="78">
        <f>LI!BH39+Res!BH39+CI!BH39</f>
        <v>917.12051334082219</v>
      </c>
      <c r="BI17" s="78">
        <f>LI!BI39+Res!BI39+CI!BI39</f>
        <v>917.12051334082219</v>
      </c>
      <c r="BJ17" s="78">
        <f>LI!BJ39+Res!BJ39+CI!BJ39</f>
        <v>917.12051334082219</v>
      </c>
      <c r="BK17" s="78">
        <f>LI!BK39+Res!BK39+CI!BK39</f>
        <v>917.12051334082219</v>
      </c>
      <c r="BL17" s="78">
        <f>SUM(AZ17:BK17)</f>
        <v>11005.446160089867</v>
      </c>
    </row>
    <row r="18" spans="1:64" x14ac:dyDescent="0.2">
      <c r="A18" s="38">
        <f>Res!A40</f>
        <v>8</v>
      </c>
      <c r="B18" s="66" t="str">
        <f>Res!B40</f>
        <v>Total Energy Efficiency Expenses</v>
      </c>
      <c r="C18" s="76"/>
      <c r="D18" s="77">
        <f>LI!D40+Res!D40+CI!D40</f>
        <v>117.59887999999999</v>
      </c>
      <c r="E18" s="77">
        <f>LI!E40+Res!E40+CI!E40</f>
        <v>2110.4823900000001</v>
      </c>
      <c r="F18" s="77">
        <f>LI!F40+Res!F40+CI!F40</f>
        <v>7120.2667600000013</v>
      </c>
      <c r="G18" s="77">
        <f>LI!G40+Res!G40+CI!G40</f>
        <v>5641.4601200000016</v>
      </c>
      <c r="H18" s="77">
        <f>LI!H40+Res!H40+CI!H40</f>
        <v>7559.9163899999985</v>
      </c>
      <c r="I18" s="77">
        <f>LI!I40+Res!I40+CI!I40</f>
        <v>5705.7111600000007</v>
      </c>
      <c r="J18" s="77">
        <f>LI!J40+Res!J40+CI!J40</f>
        <v>6781.2755500000003</v>
      </c>
      <c r="K18" s="77">
        <f>LI!K40+Res!K40+CI!K40</f>
        <v>4578.7896500000006</v>
      </c>
      <c r="L18" s="77">
        <f>LI!L40+Res!L40+CI!L40</f>
        <v>1863.76251</v>
      </c>
      <c r="M18" s="77">
        <f>LI!M40+Res!M40+CI!M40</f>
        <v>7736.6617500000011</v>
      </c>
      <c r="N18" s="77">
        <f>LI!N40+Res!N40+CI!N40</f>
        <v>9280.7552099999994</v>
      </c>
      <c r="O18" s="77">
        <f>LI!O40+Res!O40+CI!O40</f>
        <v>23093.251980000005</v>
      </c>
      <c r="P18" s="77">
        <f>SUM(D18:O18)</f>
        <v>81589.932350000003</v>
      </c>
      <c r="Q18" s="38">
        <f>Res!Q40</f>
        <v>10</v>
      </c>
      <c r="R18" s="66" t="str">
        <f>Res!R40</f>
        <v>Total Energy Efficiency Expenses</v>
      </c>
      <c r="S18" s="76"/>
      <c r="T18" s="77">
        <f>LI!T40+Res!T40+CI!T40</f>
        <v>361.43722000000002</v>
      </c>
      <c r="U18" s="77">
        <f>LI!U40+Res!U40+CI!U40</f>
        <v>1758.4678699999999</v>
      </c>
      <c r="V18" s="77">
        <f>LI!V40+Res!V40+CI!V40</f>
        <v>5288.9380299999993</v>
      </c>
      <c r="W18" s="77">
        <f>LI!W40+Res!W40+CI!W40</f>
        <v>3252.8125599999998</v>
      </c>
      <c r="X18" s="77">
        <f>LI!X40+Res!X40+CI!X40</f>
        <v>6955.7965099999992</v>
      </c>
      <c r="Y18" s="77">
        <f>LI!Y40+Res!Y40+CI!Y40</f>
        <v>1911.5277499999997</v>
      </c>
      <c r="Z18" s="77">
        <f>LI!Z40+Res!Z40+CI!Z40</f>
        <v>6074.83662</v>
      </c>
      <c r="AA18" s="77">
        <f>LI!AA40+Res!AA40+CI!AA40</f>
        <v>7799.1798100000005</v>
      </c>
      <c r="AB18" s="77">
        <f>LI!AB40+Res!AB40+CI!AB40</f>
        <v>3691.2306400000007</v>
      </c>
      <c r="AC18" s="77">
        <f>LI!AC40+Res!AC40+CI!AC40</f>
        <v>6177.7110899999989</v>
      </c>
      <c r="AD18" s="77">
        <f>LI!AD40+Res!AD40+CI!AD40</f>
        <v>4911.7012700000005</v>
      </c>
      <c r="AE18" s="77">
        <f>LI!AE40+Res!AE40+CI!AE40</f>
        <v>14068.02578</v>
      </c>
      <c r="AF18" s="77">
        <f>SUM(T18:AE18)</f>
        <v>62251.665150000001</v>
      </c>
      <c r="AG18" s="38">
        <f>Res!AG40</f>
        <v>9</v>
      </c>
      <c r="AH18" s="66" t="str">
        <f>Res!AH40</f>
        <v>Total Energy Efficiency Expenses</v>
      </c>
      <c r="AI18" s="76"/>
      <c r="AJ18" s="77">
        <f>LI!AJ40+Res!AJ40+CI!AJ40</f>
        <v>1627.32493</v>
      </c>
      <c r="AK18" s="77">
        <f>LI!AK40+Res!AK40+CI!AK40</f>
        <v>2072.5990299999999</v>
      </c>
      <c r="AL18" s="77">
        <f>LI!AL40+Res!AL40+CI!AL40</f>
        <v>6125.5084199999992</v>
      </c>
      <c r="AM18" s="77">
        <f>LI!AM40+Res!AM40+CI!AM40</f>
        <v>6502.8784899999991</v>
      </c>
      <c r="AN18" s="77">
        <f>LI!AN40+Res!AN40+CI!AN40</f>
        <v>4161.6491299999998</v>
      </c>
      <c r="AO18" s="77">
        <f>LI!AO40+Res!AO40+CI!AO40</f>
        <v>3825.98477</v>
      </c>
      <c r="AP18" s="77">
        <f>LI!AP40+Res!AP40+CI!AP40</f>
        <v>4467.9916899999998</v>
      </c>
      <c r="AQ18" s="77">
        <f>LI!AQ40+Res!AQ40+CI!AQ40</f>
        <v>3592.5988900000002</v>
      </c>
      <c r="AR18" s="77">
        <f>LI!AR40+Res!AR40+CI!AR40</f>
        <v>3917.1458299999995</v>
      </c>
      <c r="AS18" s="77">
        <f>LI!AS40+Res!AS40+CI!AS40</f>
        <v>13995.089026666668</v>
      </c>
      <c r="AT18" s="77">
        <f>LI!AT40+Res!AT40+CI!AT40</f>
        <v>13995.089026666668</v>
      </c>
      <c r="AU18" s="77">
        <f>LI!AU40+Res!AU40+CI!AU40</f>
        <v>13995.089026666668</v>
      </c>
      <c r="AV18" s="77">
        <f t="shared" si="2"/>
        <v>78278.948260000005</v>
      </c>
      <c r="AW18" s="38">
        <f>Res!AW40</f>
        <v>9</v>
      </c>
      <c r="AX18" s="66" t="str">
        <f>Res!AX40</f>
        <v>Total Energy Efficiency Expenses</v>
      </c>
      <c r="AY18" s="76"/>
      <c r="AZ18" s="77">
        <f>LI!AZ40+Res!AZ40+CI!AZ40</f>
        <v>10084.730287757489</v>
      </c>
      <c r="BA18" s="77">
        <f>LI!BA40+Res!BA40+CI!BA40</f>
        <v>10084.730287757489</v>
      </c>
      <c r="BB18" s="77">
        <f>LI!BB40+Res!BB40+CI!BB40</f>
        <v>10084.730287757489</v>
      </c>
      <c r="BC18" s="77">
        <f>LI!BC40+Res!BC40+CI!BC40</f>
        <v>10084.730287757489</v>
      </c>
      <c r="BD18" s="77">
        <f>LI!BD40+Res!BD40+CI!BD40</f>
        <v>10084.730287757489</v>
      </c>
      <c r="BE18" s="77">
        <f>LI!BE40+Res!BE40+CI!BE40</f>
        <v>10084.730287757489</v>
      </c>
      <c r="BF18" s="77">
        <f>LI!BF40+Res!BF40+CI!BF40</f>
        <v>10084.730287757489</v>
      </c>
      <c r="BG18" s="77">
        <f>LI!BG40+Res!BG40+CI!BG40</f>
        <v>10084.730287757489</v>
      </c>
      <c r="BH18" s="77">
        <f>LI!BH40+Res!BH40+CI!BH40</f>
        <v>10084.730287757489</v>
      </c>
      <c r="BI18" s="77">
        <f>LI!BI40+Res!BI40+CI!BI40</f>
        <v>10084.730287757489</v>
      </c>
      <c r="BJ18" s="77">
        <f>LI!BJ40+Res!BJ40+CI!BJ40</f>
        <v>10084.730287757489</v>
      </c>
      <c r="BK18" s="77">
        <f>LI!BK40+Res!BK40+CI!BK40</f>
        <v>10084.730287757489</v>
      </c>
      <c r="BL18" s="77">
        <f>SUM(AZ18:BK18)</f>
        <v>121016.76345308985</v>
      </c>
    </row>
    <row r="19" spans="1:64" x14ac:dyDescent="0.2">
      <c r="B19" s="66"/>
      <c r="C19" s="76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38"/>
      <c r="R19" s="66"/>
      <c r="S19" s="76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38"/>
      <c r="AH19" s="66"/>
      <c r="AI19" s="76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38"/>
      <c r="AX19" s="66"/>
      <c r="AY19" s="76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</row>
    <row r="20" spans="1:64" ht="15" x14ac:dyDescent="0.35">
      <c r="A20" s="38">
        <f>Res!A42</f>
        <v>9</v>
      </c>
      <c r="B20" s="66" t="str">
        <f>Res!B42</f>
        <v>Deferral (Over)/Under Recovery</v>
      </c>
      <c r="C20" s="77"/>
      <c r="D20" s="77">
        <f t="shared" ref="D20:O20" si="9">D14+D18</f>
        <v>-1573.0665200000001</v>
      </c>
      <c r="E20" s="77">
        <f t="shared" si="9"/>
        <v>-1052.4373899999996</v>
      </c>
      <c r="F20" s="77">
        <f t="shared" si="9"/>
        <v>3947.3906600000014</v>
      </c>
      <c r="G20" s="77">
        <f t="shared" si="9"/>
        <v>394.7118500000015</v>
      </c>
      <c r="H20" s="77">
        <f t="shared" si="9"/>
        <v>4404.892609999999</v>
      </c>
      <c r="I20" s="77">
        <f t="shared" si="9"/>
        <v>-471.03284999999869</v>
      </c>
      <c r="J20" s="77">
        <f t="shared" si="9"/>
        <v>3499.6307100000004</v>
      </c>
      <c r="K20" s="77">
        <f t="shared" si="9"/>
        <v>1279.3611500000006</v>
      </c>
      <c r="L20" s="77">
        <f t="shared" si="9"/>
        <v>-9255.0219499999985</v>
      </c>
      <c r="M20" s="77">
        <f t="shared" si="9"/>
        <v>4711.7164100000009</v>
      </c>
      <c r="N20" s="77">
        <f t="shared" si="9"/>
        <v>1053.3580599999987</v>
      </c>
      <c r="O20" s="77">
        <f t="shared" si="9"/>
        <v>12721.137270000001</v>
      </c>
      <c r="P20" s="78"/>
      <c r="Q20" s="38">
        <f>Res!Q42</f>
        <v>11</v>
      </c>
      <c r="R20" s="66" t="str">
        <f>Res!R42</f>
        <v>Deferral (Over)/Under Recovery</v>
      </c>
      <c r="S20" s="77"/>
      <c r="T20" s="77">
        <f t="shared" ref="T20:AE20" si="10">T14+T18</f>
        <v>206.22570000000007</v>
      </c>
      <c r="U20" s="77">
        <f t="shared" si="10"/>
        <v>-8587.2163999999993</v>
      </c>
      <c r="V20" s="77">
        <f t="shared" si="10"/>
        <v>-4736.8300700000018</v>
      </c>
      <c r="W20" s="77">
        <f t="shared" si="10"/>
        <v>-4632.40337</v>
      </c>
      <c r="X20" s="77">
        <f t="shared" si="10"/>
        <v>-2618.8356400000021</v>
      </c>
      <c r="Y20" s="77">
        <f t="shared" si="10"/>
        <v>-5951.7920700000013</v>
      </c>
      <c r="Z20" s="77">
        <f t="shared" si="10"/>
        <v>-1724.1653000000006</v>
      </c>
      <c r="AA20" s="77">
        <f t="shared" si="10"/>
        <v>1835.9518300000009</v>
      </c>
      <c r="AB20" s="77">
        <f t="shared" si="10"/>
        <v>-2262.4475799999991</v>
      </c>
      <c r="AC20" s="77">
        <f t="shared" si="10"/>
        <v>-2701.1673900000005</v>
      </c>
      <c r="AD20" s="77">
        <f t="shared" si="10"/>
        <v>-1013.833599999999</v>
      </c>
      <c r="AE20" s="77">
        <f t="shared" si="10"/>
        <v>6006.5955200000008</v>
      </c>
      <c r="AF20" s="78"/>
      <c r="AG20" s="38">
        <f>Res!AG42</f>
        <v>10</v>
      </c>
      <c r="AH20" s="66" t="str">
        <f>Res!AH42</f>
        <v>Deferral (Over)/Under Recovery</v>
      </c>
      <c r="AI20" s="77"/>
      <c r="AJ20" s="77">
        <f t="shared" ref="AJ20:AU20" si="11">AJ14+AJ18</f>
        <v>1487.74893</v>
      </c>
      <c r="AK20" s="77">
        <f t="shared" si="11"/>
        <v>-4137.0543399999988</v>
      </c>
      <c r="AL20" s="77">
        <f t="shared" si="11"/>
        <v>-3577.2384400000001</v>
      </c>
      <c r="AM20" s="77">
        <f t="shared" si="11"/>
        <v>315.21158000000014</v>
      </c>
      <c r="AN20" s="77">
        <f t="shared" si="11"/>
        <v>-8296.2245999999977</v>
      </c>
      <c r="AO20" s="77">
        <f t="shared" si="11"/>
        <v>-2380.5692499999986</v>
      </c>
      <c r="AP20" s="77">
        <f t="shared" si="11"/>
        <v>-1729.4109399999988</v>
      </c>
      <c r="AQ20" s="77">
        <f t="shared" si="11"/>
        <v>-2590.9685499999987</v>
      </c>
      <c r="AR20" s="77">
        <f t="shared" si="11"/>
        <v>-8436.1455000000005</v>
      </c>
      <c r="AS20" s="77">
        <f t="shared" si="11"/>
        <v>7868.1730520547553</v>
      </c>
      <c r="AT20" s="77">
        <f t="shared" si="11"/>
        <v>7884.6197520547557</v>
      </c>
      <c r="AU20" s="77">
        <f t="shared" si="11"/>
        <v>1803.8564941095083</v>
      </c>
      <c r="AV20" s="78"/>
      <c r="AW20" s="38">
        <f>Res!AW42</f>
        <v>10</v>
      </c>
      <c r="AX20" s="66" t="str">
        <f>Res!AX42</f>
        <v>Deferral (Over)/Under Recovery</v>
      </c>
      <c r="AY20" s="77"/>
      <c r="AZ20" s="77">
        <f t="shared" ref="AZ20:BK20" si="12">AZ14+AZ18</f>
        <v>9993.3908052574898</v>
      </c>
      <c r="BA20" s="77">
        <f t="shared" si="12"/>
        <v>3681.8140348999314</v>
      </c>
      <c r="BB20" s="77">
        <f t="shared" si="12"/>
        <v>2524.7522756561893</v>
      </c>
      <c r="BC20" s="77">
        <f t="shared" si="12"/>
        <v>3681.8140348999314</v>
      </c>
      <c r="BD20" s="77">
        <f t="shared" si="12"/>
        <v>3681.8140348999314</v>
      </c>
      <c r="BE20" s="77">
        <f t="shared" si="12"/>
        <v>2524.7522756561893</v>
      </c>
      <c r="BF20" s="77">
        <f t="shared" si="12"/>
        <v>3681.8140348999314</v>
      </c>
      <c r="BG20" s="77">
        <f t="shared" si="12"/>
        <v>3681.8140348999314</v>
      </c>
      <c r="BH20" s="77">
        <f t="shared" si="12"/>
        <v>2524.7522756561893</v>
      </c>
      <c r="BI20" s="77">
        <f t="shared" si="12"/>
        <v>3681.8140348999314</v>
      </c>
      <c r="BJ20" s="77">
        <f t="shared" si="12"/>
        <v>3681.8140348999314</v>
      </c>
      <c r="BK20" s="77">
        <f t="shared" si="12"/>
        <v>-3786.82449470137</v>
      </c>
      <c r="BL20" s="78"/>
    </row>
    <row r="21" spans="1:64" ht="15" x14ac:dyDescent="0.35">
      <c r="A21" s="38">
        <f>Res!A43</f>
        <v>10</v>
      </c>
      <c r="B21" s="66" t="str">
        <f>Res!B43</f>
        <v>Interest on Deferral Balance</v>
      </c>
      <c r="C21" s="76"/>
      <c r="D21" s="99">
        <f>LI!D43+Res!D43+CI!D43</f>
        <v>-108.57911999999999</v>
      </c>
      <c r="E21" s="99">
        <f>LI!E43+Res!E43+CI!E43</f>
        <v>-79.273649999999989</v>
      </c>
      <c r="F21" s="99">
        <f>LI!F43+Res!F43+CI!F43</f>
        <v>-74.314679999999981</v>
      </c>
      <c r="G21" s="99">
        <f>LI!G43+Res!G43+CI!G43</f>
        <v>-62.761629999999997</v>
      </c>
      <c r="H21" s="99">
        <f>LI!H43+Res!H43+CI!H43</f>
        <v>-63.651110000000003</v>
      </c>
      <c r="I21" s="99">
        <f>LI!I43+Res!I43+CI!I43</f>
        <v>-60.541479999999993</v>
      </c>
      <c r="J21" s="99">
        <f>LI!J43+Res!J43+CI!J43</f>
        <v>-43.472819999999999</v>
      </c>
      <c r="K21" s="99">
        <f>LI!K43+Res!K43+CI!K43</f>
        <v>-34.504679999999993</v>
      </c>
      <c r="L21" s="99">
        <f>LI!L43+Res!L43+CI!L43</f>
        <v>-39.737769999999998</v>
      </c>
      <c r="M21" s="99">
        <f>LI!M43+Res!M43+CI!M43</f>
        <v>-39.585239999999999</v>
      </c>
      <c r="N21" s="99">
        <f>LI!N43+Res!N43+CI!N43</f>
        <v>-35.75432</v>
      </c>
      <c r="O21" s="99">
        <f>LI!O43+Res!O43+CI!O43</f>
        <v>-24.50855</v>
      </c>
      <c r="P21" s="99">
        <f>SUM(D21:O21)</f>
        <v>-666.68504999999982</v>
      </c>
      <c r="Q21" s="38">
        <f>Res!Q43</f>
        <v>12</v>
      </c>
      <c r="R21" s="66" t="str">
        <f>Res!R43</f>
        <v>Interest on Deferral Balance</v>
      </c>
      <c r="S21" s="76"/>
      <c r="T21" s="99">
        <f>LI!T43+Res!T43+CI!T43</f>
        <v>-79.139119999999991</v>
      </c>
      <c r="U21" s="99">
        <f>LI!U43+Res!U43+CI!U43</f>
        <v>-42.490360000000003</v>
      </c>
      <c r="V21" s="99">
        <f>LI!V43+Res!V43+CI!V43</f>
        <v>-53.743740000000003</v>
      </c>
      <c r="W21" s="100">
        <f>LI!W43+Res!W43+CI!W43</f>
        <v>-58.918520000000001</v>
      </c>
      <c r="X21" s="100">
        <f>LI!X43+Res!X43+CI!X43</f>
        <v>-66.291089999999997</v>
      </c>
      <c r="Y21" s="100">
        <f>LI!Y43+Res!Y43+CI!Y43</f>
        <v>-71.905179999999987</v>
      </c>
      <c r="Z21" s="100">
        <f>LI!Z43+Res!Z43+CI!Z43</f>
        <v>-83.754300000000001</v>
      </c>
      <c r="AA21" s="100">
        <f>LI!AA43+Res!AA43+CI!AA43</f>
        <v>-84.258780000000002</v>
      </c>
      <c r="AB21" s="100">
        <f>LI!AB43+Res!AB43+CI!AB43</f>
        <v>-79.388560000000012</v>
      </c>
      <c r="AC21" s="100">
        <f>LI!AC43+Res!AC43+CI!AC43</f>
        <v>-91.045850000000016</v>
      </c>
      <c r="AD21" s="100">
        <f>LI!AD43+Res!AD43+CI!AD43</f>
        <v>-91.110259999999997</v>
      </c>
      <c r="AE21" s="100">
        <f>LI!AE43+Res!AE43+CI!AE43</f>
        <v>-91.579130000000006</v>
      </c>
      <c r="AF21" s="99">
        <f>SUM(T21:AE21)</f>
        <v>-893.62488999999994</v>
      </c>
      <c r="AG21" s="38">
        <f>Res!AG43</f>
        <v>11</v>
      </c>
      <c r="AH21" s="66" t="str">
        <f>Res!AH43</f>
        <v>Interest on Deferral Balance</v>
      </c>
      <c r="AI21" s="76"/>
      <c r="AJ21" s="99">
        <f>LI!AJ43+Res!AJ43+CI!AJ43</f>
        <v>-91.955600000000004</v>
      </c>
      <c r="AK21" s="99">
        <f>LI!AK43+Res!AK43+CI!AK43</f>
        <v>-81.887529999999998</v>
      </c>
      <c r="AL21" s="99">
        <f>LI!AL43+Res!AL43+CI!AL43</f>
        <v>-86.933219999999992</v>
      </c>
      <c r="AM21" s="100">
        <f>LI!AM43+Res!AM43+CI!AM43</f>
        <v>-85.389340000000004</v>
      </c>
      <c r="AN21" s="100">
        <f>LI!AN43+Res!AN43+CI!AN43</f>
        <v>-90.718589999999978</v>
      </c>
      <c r="AO21" s="100">
        <f>LI!AO43+Res!AO43+CI!AO43</f>
        <v>-109.09747</v>
      </c>
      <c r="AP21" s="100">
        <f>LI!AP43+Res!AP43+CI!AP43</f>
        <v>-118.8625</v>
      </c>
      <c r="AQ21" s="100">
        <f>LI!AQ43+Res!AQ43+CI!AQ43</f>
        <v>-125.14708999999999</v>
      </c>
      <c r="AR21" s="100">
        <f>LI!AR43+Res!AR43+CI!AR43</f>
        <v>-113.16781</v>
      </c>
      <c r="AS21" s="100">
        <f>LI!AS43+Res!AS43+CI!AS43</f>
        <v>-134.94739832743372</v>
      </c>
      <c r="AT21" s="100">
        <f>LI!AT43+Res!AT43+CI!AT43</f>
        <v>-115.01316714283587</v>
      </c>
      <c r="AU21" s="100">
        <f>LI!AU43+Res!AU43+CI!AU43</f>
        <v>-102.8354128812922</v>
      </c>
      <c r="AV21" s="99">
        <f>SUM(AJ21:AU21)</f>
        <v>-1255.9551283515616</v>
      </c>
      <c r="AW21" s="38">
        <f>Res!AW43</f>
        <v>11</v>
      </c>
      <c r="AX21" s="66" t="str">
        <f>Res!AX43</f>
        <v>Interest on Deferral Balance</v>
      </c>
      <c r="AY21" s="76"/>
      <c r="AZ21" s="101">
        <f>LI!AZ43+Res!AZ43+CI!AZ43</f>
        <v>-87.911258171526498</v>
      </c>
      <c r="BA21" s="101">
        <f>LI!BA43+Res!BA43+CI!BA43</f>
        <v>-70.530803429615489</v>
      </c>
      <c r="BB21" s="101">
        <f>LI!BB43+Res!BB43+CI!BB43</f>
        <v>-62.721466123605765</v>
      </c>
      <c r="BC21" s="102">
        <f>LI!BC43+Res!BC43+CI!BC43</f>
        <v>-54.892019774033045</v>
      </c>
      <c r="BD21" s="102">
        <f>LI!BD43+Res!BD43+CI!BD43</f>
        <v>-45.552695585083868</v>
      </c>
      <c r="BE21" s="102">
        <f>LI!BE43+Res!BE43+CI!BE43</f>
        <v>-37.67903965137446</v>
      </c>
      <c r="BF21" s="102">
        <f>LI!BF43+Res!BF43+CI!BF43</f>
        <v>-29.785109053635736</v>
      </c>
      <c r="BG21" s="102">
        <f>LI!BG43+Res!BG43+CI!BG43</f>
        <v>-20.381134569581537</v>
      </c>
      <c r="BH21" s="102">
        <f>LI!BH43+Res!BH43+CI!BH43</f>
        <v>-12.442661866257202</v>
      </c>
      <c r="BI21" s="102">
        <f>LI!BI43+Res!BI43+CI!BI43</f>
        <v>-4.4837475957218098</v>
      </c>
      <c r="BJ21" s="102">
        <f>LI!BJ43+Res!BJ43+CI!BJ43</f>
        <v>4.9853778940865245</v>
      </c>
      <c r="BK21" s="102">
        <f>LI!BK43+Res!BK43+CI!BK43</f>
        <v>4.8630142751694461</v>
      </c>
      <c r="BL21" s="101">
        <f>SUM(AZ21:BK21)</f>
        <v>-416.53154365117939</v>
      </c>
    </row>
    <row r="22" spans="1:64" ht="15" x14ac:dyDescent="0.35">
      <c r="A22" s="38">
        <f>Res!A44</f>
        <v>11</v>
      </c>
      <c r="B22" s="66" t="str">
        <f>Res!B44</f>
        <v>(Over)/Under Ending Balance</v>
      </c>
      <c r="C22" s="79">
        <f>LI!C44+Res!C44+CI!C44</f>
        <v>-18013.444598040496</v>
      </c>
      <c r="D22" s="79">
        <f>LI!D44+Res!D44+CI!D44</f>
        <v>-19695.090238040495</v>
      </c>
      <c r="E22" s="79">
        <f>LI!E44+Res!E44+CI!E44</f>
        <v>-20826.801278040497</v>
      </c>
      <c r="F22" s="79">
        <f>LI!F44+Res!F44+CI!F44</f>
        <v>-16953.725298040496</v>
      </c>
      <c r="G22" s="79">
        <f>LI!G44+Res!G44+CI!G44</f>
        <v>-16621.775078040493</v>
      </c>
      <c r="H22" s="79">
        <f>LI!H44+Res!H44+CI!H44</f>
        <v>-12280.533578040495</v>
      </c>
      <c r="I22" s="79">
        <f>LI!I44+Res!I44+CI!I44</f>
        <v>-12812.107908040494</v>
      </c>
      <c r="J22" s="79">
        <f>LI!J44+Res!J44+CI!J44</f>
        <v>-9355.9500180404957</v>
      </c>
      <c r="K22" s="79">
        <f>LI!K44+Res!K44+CI!K44</f>
        <v>-8111.0935480404951</v>
      </c>
      <c r="L22" s="79">
        <f>LI!L44+Res!L44+CI!L44</f>
        <v>-17405.853268040497</v>
      </c>
      <c r="M22" s="79">
        <f>LI!M44+Res!M44+CI!M44</f>
        <v>-12733.722098040493</v>
      </c>
      <c r="N22" s="79">
        <f>LI!N44+Res!N44+CI!N44</f>
        <v>-11716.118358040494</v>
      </c>
      <c r="O22" s="79">
        <f>LI!O44+Res!O44+CI!O44</f>
        <v>980.51036195950974</v>
      </c>
      <c r="P22" s="79"/>
      <c r="Q22" s="38">
        <f>Res!Q44</f>
        <v>13</v>
      </c>
      <c r="R22" s="66" t="str">
        <f>Res!R44</f>
        <v>(Over)/Under Ending Balance</v>
      </c>
      <c r="S22" s="79">
        <f>LI!S44+Res!S44+CI!S44</f>
        <v>980.51036195950974</v>
      </c>
      <c r="T22" s="79">
        <f t="shared" ref="T22:AD22" si="13">S22+T20+T21</f>
        <v>1107.5969419595096</v>
      </c>
      <c r="U22" s="79">
        <f t="shared" si="13"/>
        <v>-7522.1098180404897</v>
      </c>
      <c r="V22" s="79">
        <f t="shared" si="13"/>
        <v>-12312.683628040491</v>
      </c>
      <c r="W22" s="79">
        <f t="shared" si="13"/>
        <v>-17004.005518040489</v>
      </c>
      <c r="X22" s="79">
        <f t="shared" si="13"/>
        <v>-19689.132248040489</v>
      </c>
      <c r="Y22" s="79">
        <f t="shared" si="13"/>
        <v>-25712.82949804049</v>
      </c>
      <c r="Z22" s="79">
        <f t="shared" si="13"/>
        <v>-27520.749098040491</v>
      </c>
      <c r="AA22" s="79">
        <f t="shared" si="13"/>
        <v>-25769.056048040489</v>
      </c>
      <c r="AB22" s="79">
        <f t="shared" si="13"/>
        <v>-28110.892188040489</v>
      </c>
      <c r="AC22" s="79">
        <f t="shared" si="13"/>
        <v>-30903.10542804049</v>
      </c>
      <c r="AD22" s="79">
        <f t="shared" si="13"/>
        <v>-32008.049288040489</v>
      </c>
      <c r="AE22" s="79">
        <f>AD22+AE20+AE21</f>
        <v>-26093.032898040488</v>
      </c>
      <c r="AF22" s="79"/>
      <c r="AG22" s="38">
        <f>Res!AG44</f>
        <v>12</v>
      </c>
      <c r="AH22" s="66" t="str">
        <f>Res!AH44</f>
        <v>(Over)/Under Ending Balance</v>
      </c>
      <c r="AI22" s="79">
        <f>LI!AI44+Res!AI44+CI!AI44</f>
        <v>-26093.032898040481</v>
      </c>
      <c r="AJ22" s="79">
        <f>AI22+AJ20+AJ21</f>
        <v>-24697.239568040481</v>
      </c>
      <c r="AK22" s="79">
        <f t="shared" ref="AK22:AS22" si="14">AJ22+AK20+AK21</f>
        <v>-28916.181438040479</v>
      </c>
      <c r="AL22" s="79">
        <f t="shared" si="14"/>
        <v>-32580.353098040479</v>
      </c>
      <c r="AM22" s="79">
        <f t="shared" si="14"/>
        <v>-32350.530858040482</v>
      </c>
      <c r="AN22" s="79">
        <f t="shared" si="14"/>
        <v>-40737.47404804048</v>
      </c>
      <c r="AO22" s="79">
        <f t="shared" si="14"/>
        <v>-43227.140768040481</v>
      </c>
      <c r="AP22" s="79">
        <f t="shared" si="14"/>
        <v>-45075.414208040485</v>
      </c>
      <c r="AQ22" s="79">
        <f>AP22+AQ20+AQ21</f>
        <v>-47791.529848040482</v>
      </c>
      <c r="AR22" s="79">
        <f t="shared" si="14"/>
        <v>-56340.843158040479</v>
      </c>
      <c r="AS22" s="79">
        <f t="shared" si="14"/>
        <v>-48607.617504313159</v>
      </c>
      <c r="AT22" s="79">
        <f>AS22+AT20+AT21</f>
        <v>-40838.01091940124</v>
      </c>
      <c r="AU22" s="79">
        <f>AT22+AU20+AU21</f>
        <v>-39136.989838173024</v>
      </c>
      <c r="AV22" s="79"/>
      <c r="AW22" s="38">
        <f>Res!AW44</f>
        <v>12</v>
      </c>
      <c r="AX22" s="66" t="str">
        <f>Res!AX44</f>
        <v>(Over)/Under Ending Balance</v>
      </c>
      <c r="AY22" s="79">
        <f>LI!AY44+Res!AY44+CI!AY44</f>
        <v>-39136.989838173016</v>
      </c>
      <c r="AZ22" s="79">
        <f t="shared" ref="AZ22:BJ22" si="15">AY22+AZ20+AZ21</f>
        <v>-29231.510291087052</v>
      </c>
      <c r="BA22" s="79">
        <f t="shared" si="15"/>
        <v>-25620.227059616733</v>
      </c>
      <c r="BB22" s="79">
        <f t="shared" si="15"/>
        <v>-23158.196250084151</v>
      </c>
      <c r="BC22" s="79">
        <f t="shared" si="15"/>
        <v>-19531.274234958251</v>
      </c>
      <c r="BD22" s="79">
        <f t="shared" si="15"/>
        <v>-15895.012895643404</v>
      </c>
      <c r="BE22" s="79">
        <f t="shared" si="15"/>
        <v>-13407.939659638589</v>
      </c>
      <c r="BF22" s="79">
        <f t="shared" si="15"/>
        <v>-9755.9107337922924</v>
      </c>
      <c r="BG22" s="79">
        <f t="shared" si="15"/>
        <v>-6094.4778334619423</v>
      </c>
      <c r="BH22" s="79">
        <f t="shared" si="15"/>
        <v>-3582.1682196720103</v>
      </c>
      <c r="BI22" s="79">
        <f t="shared" si="15"/>
        <v>95.162067632199239</v>
      </c>
      <c r="BJ22" s="79">
        <f t="shared" si="15"/>
        <v>3781.9614804262169</v>
      </c>
      <c r="BK22" s="79">
        <f>BJ22+BK20+BK21</f>
        <v>1.6354917420358106E-11</v>
      </c>
      <c r="BL22" s="79"/>
    </row>
    <row r="23" spans="1:64" x14ac:dyDescent="0.2">
      <c r="B23" s="83"/>
      <c r="C23" s="82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2"/>
      <c r="Q23" s="38"/>
      <c r="R23" s="83"/>
      <c r="S23" s="82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2"/>
      <c r="AG23" s="38"/>
      <c r="AH23" s="8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82"/>
      <c r="AW23" s="38"/>
      <c r="AX23" s="83"/>
      <c r="AY23" s="82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2"/>
    </row>
    <row r="24" spans="1:64" x14ac:dyDescent="0.2">
      <c r="B24" s="12" t="str">
        <f>Res!B47</f>
        <v>*Sector portion of revenues are allocated based on forecasted 2024 kWh sales.</v>
      </c>
      <c r="C24" s="82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104"/>
      <c r="O24" s="84"/>
      <c r="P24" s="82"/>
      <c r="Q24" s="38"/>
      <c r="R24" s="12" t="str">
        <f>Res!R47</f>
        <v>*Sector portion of revenues are allocated based on forecasted 2025 kWh sales.</v>
      </c>
      <c r="S24" s="82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2"/>
      <c r="AG24" s="38"/>
      <c r="AH24" s="12" t="str">
        <f>Res!AH47</f>
        <v>*Sector portion of revenues are allocated based on forecasted 2026 kWh sales.</v>
      </c>
      <c r="AI24" s="82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2"/>
      <c r="AW24" s="38"/>
      <c r="AX24" s="12" t="str">
        <f>Res!AX47</f>
        <v>*Sector portion of revenues are allocated based on forecasted 2027 kWh sales.</v>
      </c>
      <c r="AY24" s="82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2"/>
    </row>
    <row r="25" spans="1:64" x14ac:dyDescent="0.2">
      <c r="B25" s="12" t="str">
        <f>Res!B48</f>
        <v>**Sector portion of revenues are allocated based on greenhouse gas reductions.</v>
      </c>
      <c r="C25" s="82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104"/>
      <c r="O25" s="84"/>
      <c r="P25" s="82"/>
      <c r="Q25" s="38"/>
      <c r="R25" s="12" t="str">
        <f>Res!R48</f>
        <v>**Sector portion of revenues are allocated based on greenhouse gas reductions.</v>
      </c>
      <c r="S25" s="82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2"/>
      <c r="AG25" s="38"/>
      <c r="AH25" s="12" t="str">
        <f>Res!AH48</f>
        <v>**Sector portion of revenues are allocated based on greenhouse gas reductions.</v>
      </c>
      <c r="AI25" s="82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2"/>
      <c r="AW25" s="38"/>
      <c r="AX25" s="12" t="str">
        <f>Res!AX48</f>
        <v>**Sector portion of revenues are allocated based on greenhouse gas reductions.</v>
      </c>
      <c r="AY25" s="82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2"/>
    </row>
    <row r="26" spans="1:64" x14ac:dyDescent="0.2">
      <c r="B26" s="12" t="str">
        <f>Res!B49</f>
        <v>***Other Revenue represents any RPS and APS credits associated with CVEO participants.</v>
      </c>
      <c r="C26" s="82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2"/>
      <c r="Q26" s="38"/>
      <c r="R26" s="12" t="str">
        <f>Res!R49</f>
        <v>***Other Revenue represents any RPS and APS credits associated with CVEO participants.</v>
      </c>
      <c r="S26" s="82"/>
      <c r="T26" s="88"/>
      <c r="U26" s="88"/>
      <c r="V26" s="88"/>
      <c r="W26" s="88"/>
      <c r="X26" s="88"/>
      <c r="Y26" s="88"/>
      <c r="Z26" s="88"/>
      <c r="AA26" s="105"/>
      <c r="AB26" s="88"/>
      <c r="AC26" s="88"/>
      <c r="AD26" s="88"/>
      <c r="AE26" s="88"/>
      <c r="AF26" s="82"/>
      <c r="AG26" s="38"/>
      <c r="AH26" s="12" t="str">
        <f>Res!AH49</f>
        <v>***Other Revenue represents any RPS and APS credits associated with CVEO participants, and revenue from the Clean Peak Standard.</v>
      </c>
      <c r="AI26" s="82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2"/>
      <c r="AW26" s="38"/>
      <c r="AX26" s="12" t="str">
        <f>Res!AX49</f>
        <v>***Other Revenue represents any RPS and APS credits associated with CVEO participants.</v>
      </c>
      <c r="AY26" s="82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2"/>
    </row>
    <row r="27" spans="1:64" x14ac:dyDescent="0.2">
      <c r="T27" s="46"/>
      <c r="U27" s="46"/>
      <c r="V27" s="46"/>
      <c r="W27" s="46"/>
      <c r="X27" s="46"/>
      <c r="Y27" s="46"/>
      <c r="Z27" s="46"/>
      <c r="AA27" s="57"/>
      <c r="AB27" s="57"/>
      <c r="AC27" s="46"/>
      <c r="AD27" s="46"/>
      <c r="AE27" s="46"/>
      <c r="AF27" s="76"/>
    </row>
    <row r="28" spans="1:64" x14ac:dyDescent="0.2">
      <c r="K28" s="69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69"/>
    </row>
    <row r="29" spans="1:64" x14ac:dyDescent="0.2">
      <c r="G29" s="69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V29" s="69"/>
    </row>
    <row r="30" spans="1:64" x14ac:dyDescent="0.2"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</row>
    <row r="31" spans="1:64" x14ac:dyDescent="0.2">
      <c r="Q31" s="38"/>
      <c r="AG31" s="38"/>
      <c r="AW31" s="38"/>
    </row>
  </sheetData>
  <mergeCells count="12">
    <mergeCell ref="A3:P3"/>
    <mergeCell ref="Q3:AF3"/>
    <mergeCell ref="AG3:AV3"/>
    <mergeCell ref="AW3:BL3"/>
    <mergeCell ref="A1:P1"/>
    <mergeCell ref="Q1:AF1"/>
    <mergeCell ref="AG1:AV1"/>
    <mergeCell ref="AW1:BL1"/>
    <mergeCell ref="A2:P2"/>
    <mergeCell ref="Q2:AF2"/>
    <mergeCell ref="AG2:AV2"/>
    <mergeCell ref="AW2:BL2"/>
  </mergeCells>
  <pageMargins left="0.7" right="0.7" top="0.75" bottom="0.75" header="0.3" footer="0.3"/>
  <pageSetup scale="44" orientation="landscape" r:id="rId1"/>
  <headerFooter>
    <oddHeader>&amp;R&amp;"Arial,Regular"&amp;10Cape Light Compact JPE
D.P.U. 26-146
Exhibit 2, EES Calculation
October 30, 2026
Page &amp;P of &amp;N</oddHeader>
  </headerFooter>
  <colBreaks count="3" manualBreakCount="3">
    <brk id="16" max="21" man="1"/>
    <brk id="32" max="21" man="1"/>
    <brk id="48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16383467D24D419A9E3D7EDD6A6740" ma:contentTypeVersion="32" ma:contentTypeDescription="Create a new document." ma:contentTypeScope="" ma:versionID="1c7797f089e30d7e2f3e686f72ea1c0d">
  <xsd:schema xmlns:xsd="http://www.w3.org/2001/XMLSchema" xmlns:xs="http://www.w3.org/2001/XMLSchema" xmlns:p="http://schemas.microsoft.com/office/2006/metadata/properties" xmlns:ns2="c20a850e-c062-459c-a12a-d2c0275d2d50" xmlns:ns3="b6fb2d50-eb25-4da7-9061-3663c5911224" targetNamespace="http://schemas.microsoft.com/office/2006/metadata/properties" ma:root="true" ma:fieldsID="4a0779bf4e8b3e07441e398fd864cc0c" ns2:_="" ns3:_="">
    <xsd:import namespace="c20a850e-c062-459c-a12a-d2c0275d2d50"/>
    <xsd:import namespace="b6fb2d50-eb25-4da7-9061-3663c5911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ateTime" minOccurs="0"/>
                <xsd:element ref="ns2:lcf76f155ced4ddcb4097134ff3c332f" minOccurs="0"/>
                <xsd:element ref="ns3:TaxCatchAll" minOccurs="0"/>
                <xsd:element ref="ns2:Category" minOccurs="0"/>
                <xsd:element ref="ns2:MediaServiceObjectDetectorVersions" minOccurs="0"/>
                <xsd:element ref="ns2:MediaServiceSearchProperties" minOccurs="0"/>
                <xsd:element ref="ns2:Date_x002d_Time" minOccurs="0"/>
                <xsd:element ref="ns2:TITLE0" minOccurs="0"/>
                <xsd:element ref="ns2:HasEmailAttachment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850e-c062-459c-a12a-d2c0275d2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eTime" ma:index="20" nillable="true" ma:displayName="Date &amp; Time" ma:format="DateTime" ma:internalName="DateTim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7c7d9e-f5e4-4134-85ad-bb804a784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y" ma:index="24" nillable="true" ma:displayName="Category" ma:format="Dropdown" ma:internalName="Category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mportant"/>
                        <xsd:enumeration value="Follow Up"/>
                        <xsd:enumeration value="Othe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x002d_Time" ma:index="27" nillable="true" ma:displayName="Date-Time" ma:format="DateTime" ma:internalName="Date_x002d_Time">
      <xsd:simpleType>
        <xsd:restriction base="dms:DateTime"/>
      </xsd:simpleType>
    </xsd:element>
    <xsd:element name="TITLE0" ma:index="28" nillable="true" ma:displayName="TITLE" ma:description="TITLE" ma:format="Dropdown" ma:internalName="TITLE0">
      <xsd:simpleType>
        <xsd:restriction base="dms:Text">
          <xsd:maxLength value="255"/>
        </xsd:restriction>
      </xsd:simpleType>
    </xsd:element>
    <xsd:element name="HasEmailAttachment" ma:index="29" nillable="true" ma:displayName="Has Email Attachment" ma:default="0" ma:format="Dropdown" ma:internalName="HasEmailAttachment">
      <xsd:simpleType>
        <xsd:restriction base="dms:Boolean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b2d50-eb25-4da7-9061-3663c5911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d9449e-aab7-408b-b5b3-255fb79e96fc}" ma:internalName="TaxCatchAll" ma:showField="CatchAllData" ma:web="b6fb2d50-eb25-4da7-9061-3663c59112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0a850e-c062-459c-a12a-d2c0275d2d50">
      <Terms xmlns="http://schemas.microsoft.com/office/infopath/2007/PartnerControls"/>
    </lcf76f155ced4ddcb4097134ff3c332f>
    <Category xmlns="c20a850e-c062-459c-a12a-d2c0275d2d50" xsi:nil="true"/>
    <Date_x002d_Time xmlns="c20a850e-c062-459c-a12a-d2c0275d2d50" xsi:nil="true"/>
    <HasEmailAttachment xmlns="c20a850e-c062-459c-a12a-d2c0275d2d50">false</HasEmailAttachment>
    <TaxCatchAll xmlns="b6fb2d50-eb25-4da7-9061-3663c5911224" xsi:nil="true"/>
    <TITLE0 xmlns="c20a850e-c062-459c-a12a-d2c0275d2d50" xsi:nil="true"/>
    <DateTime xmlns="c20a850e-c062-459c-a12a-d2c0275d2d50" xsi:nil="true"/>
  </documentManagement>
</p:properties>
</file>

<file path=customXml/itemProps1.xml><?xml version="1.0" encoding="utf-8"?>
<ds:datastoreItem xmlns:ds="http://schemas.openxmlformats.org/officeDocument/2006/customXml" ds:itemID="{5E54EC15-1DFA-4970-9726-0623169D90AC}"/>
</file>

<file path=customXml/itemProps2.xml><?xml version="1.0" encoding="utf-8"?>
<ds:datastoreItem xmlns:ds="http://schemas.openxmlformats.org/officeDocument/2006/customXml" ds:itemID="{A33F2758-9D15-439B-8695-7F316511D02E}"/>
</file>

<file path=customXml/itemProps3.xml><?xml version="1.0" encoding="utf-8"?>
<ds:datastoreItem xmlns:ds="http://schemas.openxmlformats.org/officeDocument/2006/customXml" ds:itemID="{0E9915FC-6304-43DD-9FBB-A1879E01D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Rates</vt:lpstr>
      <vt:lpstr>Res</vt:lpstr>
      <vt:lpstr>LI</vt:lpstr>
      <vt:lpstr>CI</vt:lpstr>
      <vt:lpstr>Total</vt:lpstr>
      <vt:lpstr>CI!Print_Area</vt:lpstr>
      <vt:lpstr>LI!Print_Area</vt:lpstr>
      <vt:lpstr>Rates!Print_Area</vt:lpstr>
      <vt:lpstr>Res!Print_Area</vt:lpstr>
      <vt:lpstr>Total!Print_Area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Malone</dc:creator>
  <cp:lastModifiedBy>Erin Malone</cp:lastModifiedBy>
  <dcterms:created xsi:type="dcterms:W3CDTF">2026-10-28T18:34:27Z</dcterms:created>
  <dcterms:modified xsi:type="dcterms:W3CDTF">2026-10-28T18:39:32Z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0x0101006916383467D24D419A9E3D7EDD6A6740</vt:lpwstr>
  </property>
</Properties>
</file>