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malone\Box\SEE\Projects\21-096 CLC EEFCM\2025-2027 Term\EES\Effective 2026.01\Support\Exh 2 and 3\"/>
    </mc:Choice>
  </mc:AlternateContent>
  <xr:revisionPtr revIDLastSave="0" documentId="8_{67473637-6D13-420A-99AB-FC0947124A03}" xr6:coauthVersionLast="47" xr6:coauthVersionMax="47" xr10:uidLastSave="{00000000-0000-0000-0000-000000000000}"/>
  <bookViews>
    <workbookView xWindow="-120" yWindow="-120" windowWidth="29040" windowHeight="15720" xr2:uid="{3592BA42-E691-440C-B23C-9EA688FA4665}"/>
  </bookViews>
  <sheets>
    <sheet name="Rates" sheetId="1" r:id="rId1"/>
    <sheet name="Res" sheetId="2" r:id="rId2"/>
    <sheet name="LI" sheetId="3" r:id="rId3"/>
    <sheet name="CI" sheetId="4" r:id="rId4"/>
    <sheet name="Total" sheetId="5" r:id="rId5"/>
  </sheets>
  <definedNames>
    <definedName name="BillPeriodA">#REF!</definedName>
    <definedName name="BillPeriodB">#REF!</definedName>
    <definedName name="calMonth">#REF!</definedName>
    <definedName name="NomDisRateYr2">#REF!</definedName>
    <definedName name="NomDisRateYr3">#REF!</definedName>
    <definedName name="_xlnm.Print_Area" localSheetId="3">CI!$C$1:$J$20,CI!$A$23:$AV$50</definedName>
    <definedName name="_xlnm.Print_Area" localSheetId="2">LI!$C$1:$L$20,LI!$A$23:$AV$50</definedName>
    <definedName name="_xlnm.Print_Area" localSheetId="0">Rates!$B$2:$I$22</definedName>
    <definedName name="_xlnm.Print_Area" localSheetId="1">Res!$C$1:$J$20,Res!$A$23:$AV$50</definedName>
    <definedName name="_xlnm.Print_Area" localSheetId="4">Total!$A$1:$AV$26</definedName>
    <definedName name="reportYear">#REF!</definedName>
    <definedName name="Year1">2025</definedName>
    <definedName name="Year2">2026</definedName>
    <definedName name="Year3">2027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5" i="5"/>
  <c r="B24" i="5"/>
  <c r="AH22" i="5"/>
  <c r="AG22" i="5"/>
  <c r="R22" i="5"/>
  <c r="Q22" i="5"/>
  <c r="B22" i="5"/>
  <c r="A22" i="5"/>
  <c r="AH21" i="5"/>
  <c r="AG21" i="5"/>
  <c r="R21" i="5"/>
  <c r="Q21" i="5"/>
  <c r="E21" i="5"/>
  <c r="B21" i="5"/>
  <c r="A21" i="5"/>
  <c r="AH20" i="5"/>
  <c r="AG20" i="5"/>
  <c r="R20" i="5"/>
  <c r="Q20" i="5"/>
  <c r="B20" i="5"/>
  <c r="A20" i="5"/>
  <c r="AH18" i="5"/>
  <c r="AG18" i="5"/>
  <c r="R18" i="5"/>
  <c r="Q18" i="5"/>
  <c r="B18" i="5"/>
  <c r="A18" i="5"/>
  <c r="AG17" i="5"/>
  <c r="R17" i="5"/>
  <c r="Q17" i="5"/>
  <c r="AG16" i="5"/>
  <c r="R16" i="5"/>
  <c r="Q16" i="5"/>
  <c r="AH14" i="5"/>
  <c r="R14" i="5"/>
  <c r="B14" i="5"/>
  <c r="A14" i="5"/>
  <c r="AH13" i="5"/>
  <c r="R13" i="5"/>
  <c r="B13" i="5"/>
  <c r="A13" i="5"/>
  <c r="AH12" i="5"/>
  <c r="R12" i="5"/>
  <c r="B12" i="5"/>
  <c r="A12" i="5"/>
  <c r="AH11" i="5"/>
  <c r="R11" i="5"/>
  <c r="B11" i="5"/>
  <c r="A11" i="5"/>
  <c r="Z10" i="5"/>
  <c r="Y10" i="5"/>
  <c r="X10" i="5"/>
  <c r="W10" i="5"/>
  <c r="V10" i="5"/>
  <c r="U10" i="5"/>
  <c r="T10" i="5"/>
  <c r="R10" i="5"/>
  <c r="J10" i="5"/>
  <c r="I10" i="5"/>
  <c r="H10" i="5"/>
  <c r="G10" i="5"/>
  <c r="F10" i="5"/>
  <c r="E10" i="5"/>
  <c r="D10" i="5"/>
  <c r="B10" i="5"/>
  <c r="A10" i="5"/>
  <c r="AH9" i="5"/>
  <c r="AG9" i="5"/>
  <c r="AG11" i="5" s="1"/>
  <c r="AG12" i="5" s="1"/>
  <c r="AG13" i="5" s="1"/>
  <c r="AG14" i="5" s="1"/>
  <c r="AE9" i="5"/>
  <c r="AD9" i="5"/>
  <c r="AC9" i="5"/>
  <c r="AB9" i="5"/>
  <c r="AA9" i="5"/>
  <c r="R9" i="5"/>
  <c r="O9" i="5"/>
  <c r="N9" i="5"/>
  <c r="M9" i="5"/>
  <c r="L9" i="5"/>
  <c r="K9" i="5"/>
  <c r="B9" i="5"/>
  <c r="A9" i="5"/>
  <c r="AH8" i="5"/>
  <c r="R8" i="5"/>
  <c r="B8" i="5"/>
  <c r="A8" i="5"/>
  <c r="AQ5" i="5"/>
  <c r="AP5" i="5"/>
  <c r="C5" i="5"/>
  <c r="AG2" i="5"/>
  <c r="Q2" i="5"/>
  <c r="A2" i="5"/>
  <c r="B49" i="4"/>
  <c r="B48" i="4"/>
  <c r="B47" i="4"/>
  <c r="AH45" i="4"/>
  <c r="AG45" i="4"/>
  <c r="R45" i="4"/>
  <c r="Q45" i="4"/>
  <c r="B45" i="4"/>
  <c r="A45" i="4"/>
  <c r="AH44" i="4"/>
  <c r="AG44" i="4"/>
  <c r="R44" i="4"/>
  <c r="Q44" i="4"/>
  <c r="B44" i="4"/>
  <c r="A44" i="4"/>
  <c r="AH43" i="4"/>
  <c r="AG43" i="4"/>
  <c r="R43" i="4"/>
  <c r="Q43" i="4"/>
  <c r="B43" i="4"/>
  <c r="A43" i="4"/>
  <c r="AH42" i="4"/>
  <c r="AG42" i="4"/>
  <c r="R42" i="4"/>
  <c r="Q42" i="4"/>
  <c r="B42" i="4"/>
  <c r="A42" i="4"/>
  <c r="AH40" i="4"/>
  <c r="AG40" i="4"/>
  <c r="R40" i="4"/>
  <c r="Q40" i="4"/>
  <c r="B40" i="4"/>
  <c r="A40" i="4"/>
  <c r="AG39" i="4"/>
  <c r="R39" i="4"/>
  <c r="Q39" i="4"/>
  <c r="AG38" i="4"/>
  <c r="R38" i="4"/>
  <c r="Q38" i="4"/>
  <c r="AH36" i="4"/>
  <c r="R36" i="4"/>
  <c r="B36" i="4"/>
  <c r="A36" i="4"/>
  <c r="AH35" i="4"/>
  <c r="R35" i="4"/>
  <c r="B35" i="4"/>
  <c r="A35" i="4"/>
  <c r="AH34" i="4"/>
  <c r="R34" i="4"/>
  <c r="B34" i="4"/>
  <c r="A34" i="4"/>
  <c r="AH33" i="4"/>
  <c r="R33" i="4"/>
  <c r="B33" i="4"/>
  <c r="A33" i="4"/>
  <c r="R32" i="4"/>
  <c r="B32" i="4"/>
  <c r="A32" i="4"/>
  <c r="AH31" i="4"/>
  <c r="AG31" i="4"/>
  <c r="AG33" i="4" s="1"/>
  <c r="AG34" i="4" s="1"/>
  <c r="AG35" i="4" s="1"/>
  <c r="AG36" i="4" s="1"/>
  <c r="R31" i="4"/>
  <c r="B31" i="4"/>
  <c r="A31" i="4"/>
  <c r="AH30" i="4"/>
  <c r="R30" i="4"/>
  <c r="B30" i="4"/>
  <c r="A30" i="4"/>
  <c r="AJ28" i="4"/>
  <c r="AI28" i="4" s="1"/>
  <c r="T28" i="4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AE28" i="4" s="1"/>
  <c r="D28" i="4"/>
  <c r="AR27" i="4"/>
  <c r="AQ27" i="4"/>
  <c r="AP27" i="4"/>
  <c r="AO27" i="4"/>
  <c r="M27" i="4"/>
  <c r="C27" i="4"/>
  <c r="AG24" i="4"/>
  <c r="Q24" i="4"/>
  <c r="A24" i="4"/>
  <c r="D20" i="4"/>
  <c r="D13" i="4"/>
  <c r="C10" i="4"/>
  <c r="B49" i="3"/>
  <c r="B48" i="3"/>
  <c r="B47" i="3"/>
  <c r="AH45" i="3"/>
  <c r="AG45" i="3"/>
  <c r="R45" i="3"/>
  <c r="Q45" i="3"/>
  <c r="B45" i="3"/>
  <c r="A45" i="3"/>
  <c r="AH44" i="3"/>
  <c r="AG44" i="3"/>
  <c r="R44" i="3"/>
  <c r="Q44" i="3"/>
  <c r="B44" i="3"/>
  <c r="A44" i="3"/>
  <c r="AH43" i="3"/>
  <c r="AG43" i="3"/>
  <c r="Z21" i="5"/>
  <c r="X21" i="5"/>
  <c r="W21" i="5"/>
  <c r="R43" i="3"/>
  <c r="Q43" i="3"/>
  <c r="J21" i="5"/>
  <c r="I21" i="5"/>
  <c r="B43" i="3"/>
  <c r="A43" i="3"/>
  <c r="AH42" i="3"/>
  <c r="AG42" i="3"/>
  <c r="R42" i="3"/>
  <c r="Q42" i="3"/>
  <c r="B42" i="3"/>
  <c r="A42" i="3"/>
  <c r="AH40" i="3"/>
  <c r="AG40" i="3"/>
  <c r="R40" i="3"/>
  <c r="Q40" i="3"/>
  <c r="B40" i="3"/>
  <c r="A40" i="3"/>
  <c r="AG39" i="3"/>
  <c r="R39" i="3"/>
  <c r="Q39" i="3"/>
  <c r="AG38" i="3"/>
  <c r="R38" i="3"/>
  <c r="Q38" i="3"/>
  <c r="AH36" i="3"/>
  <c r="R36" i="3"/>
  <c r="B36" i="3"/>
  <c r="A36" i="3"/>
  <c r="AH35" i="3"/>
  <c r="R35" i="3"/>
  <c r="B35" i="3"/>
  <c r="A35" i="3"/>
  <c r="AH34" i="3"/>
  <c r="R34" i="3"/>
  <c r="B34" i="3"/>
  <c r="A34" i="3"/>
  <c r="AH33" i="3"/>
  <c r="R33" i="3"/>
  <c r="B33" i="3"/>
  <c r="A33" i="3"/>
  <c r="R32" i="3"/>
  <c r="B32" i="3"/>
  <c r="A32" i="3"/>
  <c r="AH31" i="3"/>
  <c r="AG31" i="3"/>
  <c r="AG33" i="3" s="1"/>
  <c r="AG34" i="3" s="1"/>
  <c r="AG35" i="3" s="1"/>
  <c r="AG36" i="3" s="1"/>
  <c r="R31" i="3"/>
  <c r="B31" i="3"/>
  <c r="A31" i="3"/>
  <c r="AH30" i="3"/>
  <c r="R30" i="3"/>
  <c r="B30" i="3"/>
  <c r="A30" i="3"/>
  <c r="AJ28" i="3"/>
  <c r="AK28" i="3" s="1"/>
  <c r="AL28" i="3" s="1"/>
  <c r="AM28" i="3" s="1"/>
  <c r="AN28" i="3" s="1"/>
  <c r="AO28" i="3" s="1"/>
  <c r="AP28" i="3" s="1"/>
  <c r="AQ28" i="3" s="1"/>
  <c r="AR28" i="3" s="1"/>
  <c r="AS28" i="3" s="1"/>
  <c r="AT28" i="3" s="1"/>
  <c r="AU28" i="3" s="1"/>
  <c r="T28" i="3"/>
  <c r="S28" i="3" s="1"/>
  <c r="D28" i="3"/>
  <c r="E28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AR27" i="3"/>
  <c r="AP27" i="3"/>
  <c r="AO27" i="3"/>
  <c r="AD27" i="3"/>
  <c r="AA27" i="3"/>
  <c r="U27" i="3"/>
  <c r="K27" i="3"/>
  <c r="J27" i="3"/>
  <c r="I27" i="3"/>
  <c r="G27" i="3"/>
  <c r="F27" i="3"/>
  <c r="C27" i="3"/>
  <c r="AG24" i="3"/>
  <c r="Q24" i="3"/>
  <c r="A24" i="3"/>
  <c r="D20" i="3"/>
  <c r="D13" i="3"/>
  <c r="C10" i="3"/>
  <c r="R49" i="2"/>
  <c r="AH49" i="2" s="1"/>
  <c r="R48" i="2"/>
  <c r="AH47" i="2"/>
  <c r="R47" i="2"/>
  <c r="AH39" i="2"/>
  <c r="AH38" i="2"/>
  <c r="AV32" i="2"/>
  <c r="AJ28" i="2"/>
  <c r="AJ6" i="5" s="1"/>
  <c r="T28" i="2"/>
  <c r="D28" i="2"/>
  <c r="D6" i="5" s="1"/>
  <c r="AR5" i="5"/>
  <c r="AQ27" i="3"/>
  <c r="AO5" i="5"/>
  <c r="AJ27" i="3"/>
  <c r="S27" i="2"/>
  <c r="N27" i="4"/>
  <c r="AG24" i="2"/>
  <c r="Q24" i="2"/>
  <c r="A24" i="2"/>
  <c r="C10" i="2"/>
  <c r="C22" i="1"/>
  <c r="F11" i="1"/>
  <c r="E11" i="1"/>
  <c r="D11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3" i="1"/>
  <c r="C28" i="3" l="1"/>
  <c r="AI28" i="3"/>
  <c r="AK28" i="4"/>
  <c r="AL28" i="4" s="1"/>
  <c r="AM28" i="4" s="1"/>
  <c r="AN28" i="4" s="1"/>
  <c r="AO28" i="4" s="1"/>
  <c r="AP28" i="4" s="1"/>
  <c r="AQ28" i="4" s="1"/>
  <c r="AR28" i="4" s="1"/>
  <c r="AS28" i="4" s="1"/>
  <c r="AT28" i="4" s="1"/>
  <c r="AU28" i="4" s="1"/>
  <c r="S28" i="4"/>
  <c r="AI28" i="2"/>
  <c r="AI6" i="5" s="1"/>
  <c r="C28" i="2"/>
  <c r="C6" i="5" s="1"/>
  <c r="E28" i="2"/>
  <c r="E6" i="5" s="1"/>
  <c r="AU5" i="5"/>
  <c r="AU27" i="4"/>
  <c r="AU27" i="3"/>
  <c r="D5" i="5"/>
  <c r="D27" i="4"/>
  <c r="D27" i="3"/>
  <c r="S27" i="3"/>
  <c r="S27" i="4"/>
  <c r="S5" i="5"/>
  <c r="AE5" i="5"/>
  <c r="AE27" i="3"/>
  <c r="AE27" i="4"/>
  <c r="AT5" i="5"/>
  <c r="AT27" i="4"/>
  <c r="AT27" i="3"/>
  <c r="E5" i="5"/>
  <c r="E27" i="4"/>
  <c r="E27" i="3"/>
  <c r="T5" i="5"/>
  <c r="T27" i="4"/>
  <c r="T27" i="3"/>
  <c r="AI27" i="2"/>
  <c r="U28" i="3"/>
  <c r="V28" i="3" s="1"/>
  <c r="W28" i="3" s="1"/>
  <c r="X28" i="3" s="1"/>
  <c r="Y28" i="3" s="1"/>
  <c r="Z28" i="3" s="1"/>
  <c r="AA28" i="3" s="1"/>
  <c r="AB28" i="3" s="1"/>
  <c r="AC28" i="3" s="1"/>
  <c r="AD28" i="3" s="1"/>
  <c r="AE28" i="3" s="1"/>
  <c r="H5" i="5"/>
  <c r="H27" i="4"/>
  <c r="H27" i="3"/>
  <c r="W5" i="5"/>
  <c r="W27" i="4"/>
  <c r="W27" i="3"/>
  <c r="D36" i="2"/>
  <c r="AL27" i="4"/>
  <c r="AL27" i="3"/>
  <c r="AH16" i="5"/>
  <c r="AH38" i="3"/>
  <c r="AH38" i="4"/>
  <c r="AL5" i="5"/>
  <c r="G5" i="5"/>
  <c r="G27" i="4"/>
  <c r="V27" i="4"/>
  <c r="V27" i="3"/>
  <c r="V5" i="5"/>
  <c r="AK27" i="4"/>
  <c r="AK5" i="5"/>
  <c r="AK27" i="3"/>
  <c r="C22" i="5"/>
  <c r="T6" i="5"/>
  <c r="S28" i="2"/>
  <c r="S6" i="5" s="1"/>
  <c r="U28" i="2"/>
  <c r="AH17" i="5"/>
  <c r="AH39" i="4"/>
  <c r="AH39" i="3"/>
  <c r="X5" i="5"/>
  <c r="X27" i="4"/>
  <c r="X27" i="3"/>
  <c r="P43" i="2"/>
  <c r="AN5" i="5"/>
  <c r="AN27" i="4"/>
  <c r="K5" i="5"/>
  <c r="K27" i="4"/>
  <c r="Z27" i="4"/>
  <c r="Z27" i="3"/>
  <c r="L21" i="5"/>
  <c r="AJ45" i="3"/>
  <c r="AJ45" i="4"/>
  <c r="R24" i="5"/>
  <c r="R47" i="4"/>
  <c r="R47" i="3"/>
  <c r="I5" i="5"/>
  <c r="I27" i="4"/>
  <c r="AM5" i="5"/>
  <c r="AM27" i="4"/>
  <c r="AM27" i="3"/>
  <c r="AH24" i="5"/>
  <c r="AH47" i="4"/>
  <c r="AH47" i="3"/>
  <c r="Y5" i="5"/>
  <c r="Y27" i="4"/>
  <c r="Y27" i="3"/>
  <c r="Y21" i="5"/>
  <c r="R25" i="5"/>
  <c r="R48" i="3"/>
  <c r="R48" i="4"/>
  <c r="AH48" i="2"/>
  <c r="M21" i="5"/>
  <c r="AH26" i="5"/>
  <c r="AH49" i="4"/>
  <c r="AH49" i="3"/>
  <c r="F20" i="1"/>
  <c r="AK28" i="2"/>
  <c r="J5" i="5"/>
  <c r="J27" i="4"/>
  <c r="K21" i="5"/>
  <c r="O5" i="5"/>
  <c r="O27" i="3"/>
  <c r="O27" i="4"/>
  <c r="AD5" i="5"/>
  <c r="AD27" i="4"/>
  <c r="AS5" i="5"/>
  <c r="AS27" i="4"/>
  <c r="AS27" i="3"/>
  <c r="AN27" i="3"/>
  <c r="Z5" i="5"/>
  <c r="L5" i="5"/>
  <c r="L27" i="4"/>
  <c r="L27" i="3"/>
  <c r="AA5" i="5"/>
  <c r="AA27" i="4"/>
  <c r="M5" i="5"/>
  <c r="M27" i="3"/>
  <c r="AB5" i="5"/>
  <c r="AB27" i="3"/>
  <c r="N5" i="5"/>
  <c r="N27" i="3"/>
  <c r="AC5" i="5"/>
  <c r="AC27" i="4"/>
  <c r="AC27" i="3"/>
  <c r="H21" i="5"/>
  <c r="V21" i="5"/>
  <c r="AB27" i="4"/>
  <c r="F21" i="5"/>
  <c r="T21" i="5"/>
  <c r="P43" i="4"/>
  <c r="F5" i="5"/>
  <c r="F27" i="4"/>
  <c r="U5" i="5"/>
  <c r="U27" i="4"/>
  <c r="AJ5" i="5"/>
  <c r="AJ27" i="4"/>
  <c r="R26" i="5"/>
  <c r="R49" i="4"/>
  <c r="R49" i="3"/>
  <c r="AB21" i="5"/>
  <c r="O21" i="5"/>
  <c r="E28" i="4"/>
  <c r="F28" i="4" s="1"/>
  <c r="G28" i="4" s="1"/>
  <c r="H28" i="4" s="1"/>
  <c r="I28" i="4" s="1"/>
  <c r="J28" i="4" s="1"/>
  <c r="K28" i="4" s="1"/>
  <c r="L28" i="4" s="1"/>
  <c r="M28" i="4" s="1"/>
  <c r="N28" i="4" s="1"/>
  <c r="O28" i="4" s="1"/>
  <c r="C28" i="4"/>
  <c r="G21" i="5"/>
  <c r="U21" i="5"/>
  <c r="N21" i="5"/>
  <c r="AA21" i="5"/>
  <c r="D21" i="5"/>
  <c r="P43" i="3"/>
  <c r="F28" i="2" l="1"/>
  <c r="F6" i="5" s="1"/>
  <c r="AK6" i="5"/>
  <c r="AL28" i="2"/>
  <c r="D13" i="5"/>
  <c r="D8" i="5"/>
  <c r="D36" i="3"/>
  <c r="D42" i="2"/>
  <c r="P21" i="5"/>
  <c r="D45" i="4"/>
  <c r="D45" i="3"/>
  <c r="U6" i="5"/>
  <c r="V28" i="2"/>
  <c r="T45" i="3"/>
  <c r="T45" i="4"/>
  <c r="E9" i="5"/>
  <c r="E11" i="5"/>
  <c r="AH25" i="5"/>
  <c r="AH48" i="4"/>
  <c r="AH48" i="3"/>
  <c r="D11" i="5"/>
  <c r="E36" i="2"/>
  <c r="E42" i="2" s="1"/>
  <c r="E45" i="3"/>
  <c r="E45" i="4"/>
  <c r="D20" i="1"/>
  <c r="D9" i="5"/>
  <c r="D12" i="5"/>
  <c r="AI5" i="5"/>
  <c r="AI27" i="4"/>
  <c r="AI27" i="3"/>
  <c r="G28" i="2" l="1"/>
  <c r="E12" i="5"/>
  <c r="D14" i="5"/>
  <c r="F11" i="5"/>
  <c r="F13" i="5"/>
  <c r="E36" i="4"/>
  <c r="E42" i="4" s="1"/>
  <c r="F36" i="4"/>
  <c r="F42" i="4" s="1"/>
  <c r="T38" i="2"/>
  <c r="D36" i="4"/>
  <c r="E8" i="5"/>
  <c r="E36" i="3"/>
  <c r="E42" i="3" s="1"/>
  <c r="G6" i="5"/>
  <c r="H28" i="2"/>
  <c r="V6" i="5"/>
  <c r="W28" i="2"/>
  <c r="U45" i="4"/>
  <c r="U45" i="3"/>
  <c r="F36" i="2"/>
  <c r="F42" i="2" s="1"/>
  <c r="D44" i="2"/>
  <c r="E44" i="2" s="1"/>
  <c r="AK45" i="4"/>
  <c r="AK45" i="3"/>
  <c r="E13" i="5"/>
  <c r="F45" i="4"/>
  <c r="F45" i="3"/>
  <c r="T36" i="2"/>
  <c r="AL6" i="5"/>
  <c r="AM28" i="2"/>
  <c r="E18" i="5"/>
  <c r="D42" i="3"/>
  <c r="D18" i="5"/>
  <c r="E14" i="5" l="1"/>
  <c r="E20" i="5" s="1"/>
  <c r="F44" i="2"/>
  <c r="U17" i="5"/>
  <c r="T18" i="5"/>
  <c r="T38" i="3"/>
  <c r="AK38" i="2"/>
  <c r="T17" i="5"/>
  <c r="T42" i="2"/>
  <c r="V45" i="3"/>
  <c r="V45" i="4"/>
  <c r="T8" i="5"/>
  <c r="T36" i="3"/>
  <c r="G36" i="2"/>
  <c r="U38" i="2"/>
  <c r="T13" i="5"/>
  <c r="D42" i="4"/>
  <c r="F12" i="5"/>
  <c r="D44" i="3"/>
  <c r="G45" i="4"/>
  <c r="G45" i="3"/>
  <c r="D20" i="5"/>
  <c r="H6" i="5"/>
  <c r="I28" i="2"/>
  <c r="T12" i="5"/>
  <c r="AM6" i="5"/>
  <c r="AN28" i="2"/>
  <c r="U36" i="2"/>
  <c r="U42" i="2" s="1"/>
  <c r="F9" i="5"/>
  <c r="W6" i="5"/>
  <c r="X28" i="2"/>
  <c r="F36" i="3"/>
  <c r="F8" i="5"/>
  <c r="T9" i="5"/>
  <c r="F18" i="5"/>
  <c r="AJ36" i="2"/>
  <c r="T36" i="4"/>
  <c r="AL45" i="4"/>
  <c r="AL45" i="3"/>
  <c r="T38" i="4"/>
  <c r="T11" i="5"/>
  <c r="AJ42" i="2" l="1"/>
  <c r="AJ8" i="5"/>
  <c r="AJ18" i="5"/>
  <c r="AJ38" i="3"/>
  <c r="F14" i="5"/>
  <c r="G11" i="5"/>
  <c r="AJ9" i="5"/>
  <c r="T42" i="4"/>
  <c r="AK17" i="5"/>
  <c r="AK13" i="5"/>
  <c r="AK9" i="5"/>
  <c r="G36" i="4"/>
  <c r="U11" i="5"/>
  <c r="G42" i="2"/>
  <c r="G44" i="2" s="1"/>
  <c r="W45" i="4"/>
  <c r="W45" i="3"/>
  <c r="V38" i="2"/>
  <c r="G12" i="5"/>
  <c r="AN6" i="5"/>
  <c r="AO28" i="2"/>
  <c r="T16" i="5"/>
  <c r="X6" i="5"/>
  <c r="Y28" i="2"/>
  <c r="AM45" i="3"/>
  <c r="AM45" i="4"/>
  <c r="F42" i="3"/>
  <c r="G18" i="5"/>
  <c r="H36" i="4"/>
  <c r="H42" i="4" s="1"/>
  <c r="U18" i="5"/>
  <c r="U38" i="3"/>
  <c r="AJ36" i="4"/>
  <c r="G9" i="5"/>
  <c r="U12" i="5"/>
  <c r="AJ17" i="5"/>
  <c r="AJ38" i="2"/>
  <c r="U36" i="4"/>
  <c r="U42" i="4" s="1"/>
  <c r="V12" i="5"/>
  <c r="V13" i="5"/>
  <c r="U8" i="5"/>
  <c r="U36" i="3"/>
  <c r="U42" i="3" s="1"/>
  <c r="AJ12" i="5"/>
  <c r="E44" i="3"/>
  <c r="AK36" i="2"/>
  <c r="AK42" i="2" s="1"/>
  <c r="U13" i="5"/>
  <c r="I6" i="5"/>
  <c r="J28" i="2"/>
  <c r="D44" i="4"/>
  <c r="E44" i="4" s="1"/>
  <c r="F44" i="4" s="1"/>
  <c r="T42" i="3"/>
  <c r="G8" i="5"/>
  <c r="G36" i="3"/>
  <c r="G42" i="3" s="1"/>
  <c r="H36" i="2"/>
  <c r="H42" i="2" s="1"/>
  <c r="U38" i="4"/>
  <c r="H45" i="4"/>
  <c r="H45" i="3"/>
  <c r="V36" i="2"/>
  <c r="T14" i="5"/>
  <c r="G13" i="5"/>
  <c r="H18" i="5"/>
  <c r="H11" i="5"/>
  <c r="U9" i="5"/>
  <c r="U16" i="5" l="1"/>
  <c r="U14" i="5"/>
  <c r="U20" i="5" s="1"/>
  <c r="D22" i="5"/>
  <c r="AK8" i="5"/>
  <c r="AL38" i="2"/>
  <c r="AL36" i="2"/>
  <c r="V18" i="5"/>
  <c r="V38" i="3"/>
  <c r="AK18" i="5"/>
  <c r="AK38" i="3"/>
  <c r="V8" i="5"/>
  <c r="V36" i="3"/>
  <c r="W38" i="2"/>
  <c r="I36" i="2"/>
  <c r="I42" i="2" s="1"/>
  <c r="H13" i="5"/>
  <c r="V42" i="2"/>
  <c r="V17" i="5"/>
  <c r="AJ38" i="4"/>
  <c r="AJ16" i="5" s="1"/>
  <c r="E22" i="5"/>
  <c r="F44" i="3"/>
  <c r="AJ42" i="4"/>
  <c r="Y6" i="5"/>
  <c r="Z28" i="2"/>
  <c r="H12" i="5"/>
  <c r="AJ13" i="5"/>
  <c r="AK11" i="5"/>
  <c r="I45" i="4"/>
  <c r="I45" i="3"/>
  <c r="AO6" i="5"/>
  <c r="AP28" i="2"/>
  <c r="W17" i="5"/>
  <c r="P31" i="2"/>
  <c r="F20" i="5"/>
  <c r="V9" i="5"/>
  <c r="AN45" i="3"/>
  <c r="AN45" i="4"/>
  <c r="T20" i="5"/>
  <c r="AK38" i="4"/>
  <c r="H9" i="5"/>
  <c r="W36" i="2"/>
  <c r="W42" i="2" s="1"/>
  <c r="J6" i="5"/>
  <c r="K28" i="2"/>
  <c r="V36" i="4"/>
  <c r="H44" i="2"/>
  <c r="V38" i="4"/>
  <c r="G42" i="4"/>
  <c r="G44" i="4" s="1"/>
  <c r="H44" i="4" s="1"/>
  <c r="AK36" i="4"/>
  <c r="AK42" i="4" s="1"/>
  <c r="X45" i="4"/>
  <c r="X45" i="3"/>
  <c r="H8" i="5"/>
  <c r="H36" i="3"/>
  <c r="G14" i="5"/>
  <c r="G20" i="5" s="1"/>
  <c r="AJ11" i="5"/>
  <c r="AJ36" i="3"/>
  <c r="V11" i="5"/>
  <c r="W36" i="4"/>
  <c r="W42" i="4" s="1"/>
  <c r="W38" i="4"/>
  <c r="AK16" i="5" l="1"/>
  <c r="V16" i="5"/>
  <c r="V14" i="5"/>
  <c r="V20" i="5" s="1"/>
  <c r="I44" i="2"/>
  <c r="J13" i="5"/>
  <c r="X38" i="2"/>
  <c r="AP6" i="5"/>
  <c r="AQ28" i="2"/>
  <c r="AJ42" i="3"/>
  <c r="J45" i="3"/>
  <c r="J45" i="4"/>
  <c r="AO45" i="3"/>
  <c r="AO45" i="4"/>
  <c r="AL38" i="3"/>
  <c r="AL18" i="5"/>
  <c r="V42" i="3"/>
  <c r="Z6" i="5"/>
  <c r="AA28" i="2"/>
  <c r="AL42" i="2"/>
  <c r="W8" i="5"/>
  <c r="W36" i="3"/>
  <c r="W42" i="3" s="1"/>
  <c r="AK12" i="5"/>
  <c r="AK14" i="5" s="1"/>
  <c r="AK20" i="5" s="1"/>
  <c r="W18" i="5"/>
  <c r="W38" i="3"/>
  <c r="W16" i="5" s="1"/>
  <c r="K6" i="5"/>
  <c r="L28" i="2"/>
  <c r="H42" i="3"/>
  <c r="X36" i="2"/>
  <c r="J36" i="2"/>
  <c r="J42" i="2" s="1"/>
  <c r="J44" i="2" s="1"/>
  <c r="AL36" i="3"/>
  <c r="AL42" i="3" s="1"/>
  <c r="H14" i="5"/>
  <c r="H20" i="5" s="1"/>
  <c r="AM36" i="2"/>
  <c r="AM42" i="2" s="1"/>
  <c r="P31" i="4"/>
  <c r="I9" i="5"/>
  <c r="P31" i="3"/>
  <c r="Y45" i="4"/>
  <c r="Y45" i="3"/>
  <c r="G44" i="3"/>
  <c r="F22" i="5"/>
  <c r="AL11" i="5"/>
  <c r="AJ14" i="5"/>
  <c r="I36" i="3"/>
  <c r="I42" i="3" s="1"/>
  <c r="I8" i="5"/>
  <c r="W11" i="5"/>
  <c r="I12" i="5"/>
  <c r="AL17" i="5"/>
  <c r="AL12" i="5"/>
  <c r="W9" i="5"/>
  <c r="I13" i="5"/>
  <c r="V42" i="4"/>
  <c r="W13" i="5"/>
  <c r="AM38" i="2"/>
  <c r="I18" i="5"/>
  <c r="AL9" i="5"/>
  <c r="AK36" i="3"/>
  <c r="AK42" i="3" s="1"/>
  <c r="W12" i="5"/>
  <c r="I11" i="5"/>
  <c r="I36" i="4"/>
  <c r="AN36" i="2" l="1"/>
  <c r="AN42" i="2" s="1"/>
  <c r="AM17" i="5"/>
  <c r="L6" i="5"/>
  <c r="M28" i="2"/>
  <c r="AP45" i="4"/>
  <c r="AP45" i="3"/>
  <c r="AL36" i="4"/>
  <c r="AL38" i="4"/>
  <c r="AL16" i="5"/>
  <c r="AM38" i="4"/>
  <c r="I42" i="4"/>
  <c r="I44" i="4" s="1"/>
  <c r="AA6" i="5"/>
  <c r="AB28" i="2"/>
  <c r="J12" i="5"/>
  <c r="AQ6" i="5"/>
  <c r="AR28" i="2"/>
  <c r="AJ20" i="5"/>
  <c r="G22" i="5"/>
  <c r="H44" i="3"/>
  <c r="X8" i="5"/>
  <c r="X36" i="3"/>
  <c r="J11" i="5"/>
  <c r="X18" i="5"/>
  <c r="X38" i="3"/>
  <c r="X16" i="5" s="1"/>
  <c r="J36" i="4"/>
  <c r="J42" i="4" s="1"/>
  <c r="AF31" i="2"/>
  <c r="Y13" i="5"/>
  <c r="J18" i="5"/>
  <c r="AN38" i="2"/>
  <c r="K18" i="5"/>
  <c r="K11" i="5"/>
  <c r="X38" i="4"/>
  <c r="X42" i="2"/>
  <c r="AL13" i="5"/>
  <c r="X13" i="5"/>
  <c r="X36" i="4"/>
  <c r="I14" i="5"/>
  <c r="I20" i="5" s="1"/>
  <c r="AL8" i="5"/>
  <c r="X12" i="5"/>
  <c r="Z45" i="4"/>
  <c r="Z45" i="3"/>
  <c r="J9" i="5"/>
  <c r="P9" i="5" s="1"/>
  <c r="X17" i="5"/>
  <c r="X9" i="5"/>
  <c r="X11" i="5"/>
  <c r="Y36" i="2"/>
  <c r="Y42" i="2" s="1"/>
  <c r="Y38" i="2"/>
  <c r="K45" i="4"/>
  <c r="K45" i="3"/>
  <c r="W14" i="5"/>
  <c r="K36" i="2"/>
  <c r="K42" i="2" s="1"/>
  <c r="K44" i="2" s="1"/>
  <c r="J36" i="3"/>
  <c r="J8" i="5"/>
  <c r="J44" i="4" l="1"/>
  <c r="AM11" i="5"/>
  <c r="AN11" i="5"/>
  <c r="K36" i="3"/>
  <c r="K42" i="3" s="1"/>
  <c r="K8" i="5"/>
  <c r="Z12" i="5"/>
  <c r="Z17" i="5"/>
  <c r="AM8" i="5"/>
  <c r="AM36" i="3"/>
  <c r="AM36" i="4"/>
  <c r="AM42" i="4" s="1"/>
  <c r="K10" i="5"/>
  <c r="K12" i="5"/>
  <c r="AB6" i="5"/>
  <c r="AC28" i="2"/>
  <c r="AN9" i="5"/>
  <c r="L36" i="2"/>
  <c r="L42" i="2" s="1"/>
  <c r="L44" i="2" s="1"/>
  <c r="M44" i="2" s="1"/>
  <c r="Y38" i="4"/>
  <c r="AN13" i="5"/>
  <c r="AM12" i="5"/>
  <c r="H22" i="5"/>
  <c r="I44" i="3"/>
  <c r="L45" i="4"/>
  <c r="L45" i="3"/>
  <c r="K13" i="5"/>
  <c r="AA36" i="2"/>
  <c r="AA42" i="2" s="1"/>
  <c r="AA38" i="2"/>
  <c r="Y11" i="5"/>
  <c r="X42" i="4"/>
  <c r="Y18" i="5"/>
  <c r="Y38" i="3"/>
  <c r="Y9" i="5"/>
  <c r="AM9" i="5"/>
  <c r="AM18" i="5"/>
  <c r="AM38" i="3"/>
  <c r="M6" i="5"/>
  <c r="N28" i="2"/>
  <c r="AN12" i="5"/>
  <c r="AQ45" i="4"/>
  <c r="AQ45" i="3"/>
  <c r="W20" i="5"/>
  <c r="X42" i="3"/>
  <c r="AR6" i="5"/>
  <c r="AS28" i="2"/>
  <c r="Y8" i="5"/>
  <c r="Y36" i="3"/>
  <c r="Y42" i="3" s="1"/>
  <c r="X14" i="5"/>
  <c r="X20" i="5" s="1"/>
  <c r="Y12" i="5"/>
  <c r="AF31" i="4"/>
  <c r="Z36" i="2"/>
  <c r="AM13" i="5"/>
  <c r="AN38" i="4"/>
  <c r="AO38" i="4"/>
  <c r="K36" i="4"/>
  <c r="K42" i="4" s="1"/>
  <c r="K44" i="4" s="1"/>
  <c r="L13" i="5"/>
  <c r="L12" i="5"/>
  <c r="L11" i="5"/>
  <c r="AL42" i="4"/>
  <c r="Y36" i="4"/>
  <c r="Y42" i="4" s="1"/>
  <c r="AA45" i="4"/>
  <c r="AA45" i="3"/>
  <c r="J14" i="5"/>
  <c r="Z38" i="2"/>
  <c r="J42" i="3"/>
  <c r="AL14" i="5"/>
  <c r="Y17" i="5"/>
  <c r="M36" i="2"/>
  <c r="M42" i="2" s="1"/>
  <c r="Y16" i="5" l="1"/>
  <c r="Y14" i="5"/>
  <c r="Y20" i="5" s="1"/>
  <c r="AO9" i="5"/>
  <c r="AT28" i="2"/>
  <c r="AS6" i="5"/>
  <c r="Z36" i="4"/>
  <c r="AR45" i="4"/>
  <c r="AR45" i="3"/>
  <c r="M11" i="5"/>
  <c r="AN36" i="4"/>
  <c r="AN42" i="4" s="1"/>
  <c r="AO36" i="2"/>
  <c r="Z8" i="5"/>
  <c r="Z36" i="3"/>
  <c r="Z42" i="3" s="1"/>
  <c r="K14" i="5"/>
  <c r="K20" i="5" s="1"/>
  <c r="AN18" i="5"/>
  <c r="AN38" i="3"/>
  <c r="AN16" i="5" s="1"/>
  <c r="Z9" i="5"/>
  <c r="AF9" i="5" s="1"/>
  <c r="AF31" i="3"/>
  <c r="AO38" i="2"/>
  <c r="AL20" i="5"/>
  <c r="AM42" i="3"/>
  <c r="AP13" i="5"/>
  <c r="AO11" i="5"/>
  <c r="AM14" i="5"/>
  <c r="AM20" i="5" s="1"/>
  <c r="AN17" i="5"/>
  <c r="L18" i="5"/>
  <c r="L8" i="5"/>
  <c r="L36" i="3"/>
  <c r="M45" i="4"/>
  <c r="M45" i="3"/>
  <c r="Z13" i="5"/>
  <c r="L10" i="5"/>
  <c r="AO36" i="4"/>
  <c r="AO42" i="4" s="1"/>
  <c r="Z42" i="2"/>
  <c r="N6" i="5"/>
  <c r="O28" i="2"/>
  <c r="AO17" i="5"/>
  <c r="L36" i="4"/>
  <c r="Z11" i="5"/>
  <c r="J20" i="5"/>
  <c r="Z38" i="4"/>
  <c r="AN8" i="5"/>
  <c r="AN14" i="5" s="1"/>
  <c r="AN36" i="3"/>
  <c r="AN42" i="3" s="1"/>
  <c r="I22" i="5"/>
  <c r="J44" i="3"/>
  <c r="AB45" i="4"/>
  <c r="AB45" i="3"/>
  <c r="AM16" i="5"/>
  <c r="AA38" i="4"/>
  <c r="AC6" i="5"/>
  <c r="AD28" i="2"/>
  <c r="AP38" i="2"/>
  <c r="AA13" i="5"/>
  <c r="AA12" i="5"/>
  <c r="Z18" i="5"/>
  <c r="Z38" i="3"/>
  <c r="AN20" i="5" l="1"/>
  <c r="AP8" i="5"/>
  <c r="M8" i="5"/>
  <c r="M36" i="3"/>
  <c r="M42" i="3" s="1"/>
  <c r="AO13" i="5"/>
  <c r="AQ36" i="2"/>
  <c r="AQ42" i="2" s="1"/>
  <c r="AA17" i="5"/>
  <c r="AD6" i="5"/>
  <c r="AE28" i="2"/>
  <c r="AB36" i="2"/>
  <c r="AP36" i="4"/>
  <c r="AP42" i="4" s="1"/>
  <c r="AS45" i="3"/>
  <c r="AS45" i="4"/>
  <c r="AC38" i="2"/>
  <c r="AB12" i="5"/>
  <c r="AB11" i="5"/>
  <c r="AB10" i="5"/>
  <c r="AO18" i="5"/>
  <c r="AO38" i="3"/>
  <c r="AA10" i="5"/>
  <c r="AA8" i="5"/>
  <c r="AA36" i="3"/>
  <c r="J22" i="5"/>
  <c r="K44" i="3"/>
  <c r="L14" i="5"/>
  <c r="L20" i="5" s="1"/>
  <c r="AP12" i="5"/>
  <c r="M18" i="5"/>
  <c r="AA11" i="5"/>
  <c r="AC45" i="4"/>
  <c r="AC45" i="3"/>
  <c r="N45" i="3"/>
  <c r="N45" i="4"/>
  <c r="AP9" i="5"/>
  <c r="N36" i="2"/>
  <c r="N42" i="2" s="1"/>
  <c r="N44" i="2" s="1"/>
  <c r="AO42" i="2"/>
  <c r="AA36" i="4"/>
  <c r="AA42" i="4" s="1"/>
  <c r="O6" i="5"/>
  <c r="AP11" i="5"/>
  <c r="AA18" i="5"/>
  <c r="AA38" i="3"/>
  <c r="AA16" i="5" s="1"/>
  <c r="AP36" i="2"/>
  <c r="AP42" i="2" s="1"/>
  <c r="N12" i="5"/>
  <c r="N10" i="5"/>
  <c r="Z14" i="5"/>
  <c r="Z16" i="5"/>
  <c r="L42" i="4"/>
  <c r="L44" i="4" s="1"/>
  <c r="M36" i="4"/>
  <c r="M42" i="4" s="1"/>
  <c r="AO8" i="5"/>
  <c r="AO36" i="3"/>
  <c r="M10" i="5"/>
  <c r="Z42" i="4"/>
  <c r="AO12" i="5"/>
  <c r="M12" i="5"/>
  <c r="L42" i="3"/>
  <c r="P32" i="2"/>
  <c r="P35" i="2"/>
  <c r="P34" i="2"/>
  <c r="P33" i="2"/>
  <c r="P40" i="2"/>
  <c r="AB38" i="2"/>
  <c r="M13" i="5"/>
  <c r="AQ38" i="2"/>
  <c r="AT6" i="5"/>
  <c r="AU28" i="2"/>
  <c r="M44" i="4" l="1"/>
  <c r="M14" i="5"/>
  <c r="M20" i="5" s="1"/>
  <c r="P32" i="3"/>
  <c r="AB17" i="5"/>
  <c r="AP18" i="5"/>
  <c r="AP38" i="3"/>
  <c r="O45" i="4"/>
  <c r="O45" i="3"/>
  <c r="AD45" i="4"/>
  <c r="AD45" i="3"/>
  <c r="AQ9" i="5"/>
  <c r="AO16" i="5"/>
  <c r="AB18" i="5"/>
  <c r="AB38" i="3"/>
  <c r="AB36" i="4"/>
  <c r="AR38" i="2"/>
  <c r="AO42" i="3"/>
  <c r="AO14" i="5"/>
  <c r="AC36" i="2"/>
  <c r="AC42" i="2" s="1"/>
  <c r="AQ11" i="5"/>
  <c r="Z20" i="5"/>
  <c r="AE6" i="5"/>
  <c r="N13" i="5"/>
  <c r="AB8" i="5"/>
  <c r="AB36" i="3"/>
  <c r="AB42" i="3" s="1"/>
  <c r="AC13" i="5"/>
  <c r="AC11" i="5"/>
  <c r="AC12" i="5"/>
  <c r="AQ38" i="4"/>
  <c r="N11" i="5"/>
  <c r="AB13" i="5"/>
  <c r="AP38" i="4"/>
  <c r="AP36" i="3"/>
  <c r="AP42" i="3" s="1"/>
  <c r="K22" i="5"/>
  <c r="L44" i="3"/>
  <c r="AQ17" i="5"/>
  <c r="N18" i="5"/>
  <c r="AQ36" i="4"/>
  <c r="AQ42" i="4" s="1"/>
  <c r="P34" i="4"/>
  <c r="P40" i="4"/>
  <c r="P33" i="4"/>
  <c r="P35" i="4"/>
  <c r="P32" i="4"/>
  <c r="AS36" i="2"/>
  <c r="AS38" i="2"/>
  <c r="AB38" i="4"/>
  <c r="O36" i="2"/>
  <c r="P30" i="2"/>
  <c r="N36" i="4"/>
  <c r="N42" i="4" s="1"/>
  <c r="N44" i="4" s="1"/>
  <c r="AA42" i="3"/>
  <c r="AR12" i="5"/>
  <c r="AA14" i="5"/>
  <c r="AA20" i="5" s="1"/>
  <c r="AB42" i="2"/>
  <c r="AU6" i="5"/>
  <c r="AT45" i="4"/>
  <c r="AT45" i="3"/>
  <c r="AR36" i="2"/>
  <c r="AR42" i="2" s="1"/>
  <c r="AP17" i="5"/>
  <c r="N8" i="5"/>
  <c r="N36" i="3"/>
  <c r="N42" i="3" s="1"/>
  <c r="AP14" i="5"/>
  <c r="AB14" i="5" l="1"/>
  <c r="AB20" i="5" s="1"/>
  <c r="AC10" i="5"/>
  <c r="AF39" i="2"/>
  <c r="AF35" i="2"/>
  <c r="AF34" i="2"/>
  <c r="AF32" i="2"/>
  <c r="AR17" i="5"/>
  <c r="AO20" i="5"/>
  <c r="AD38" i="2"/>
  <c r="AS42" i="2"/>
  <c r="AD36" i="2"/>
  <c r="AD42" i="2" s="1"/>
  <c r="AR11" i="5"/>
  <c r="O12" i="5"/>
  <c r="P12" i="5" s="1"/>
  <c r="P34" i="3"/>
  <c r="O36" i="4"/>
  <c r="P30" i="4"/>
  <c r="AE45" i="4"/>
  <c r="AE45" i="3"/>
  <c r="AQ13" i="5"/>
  <c r="AR38" i="4"/>
  <c r="O11" i="5"/>
  <c r="P11" i="5" s="1"/>
  <c r="P33" i="3"/>
  <c r="AS9" i="5"/>
  <c r="AQ18" i="5"/>
  <c r="L22" i="5"/>
  <c r="M44" i="3"/>
  <c r="AQ36" i="3"/>
  <c r="AQ42" i="3" s="1"/>
  <c r="AQ8" i="5"/>
  <c r="AR9" i="5"/>
  <c r="AP16" i="5"/>
  <c r="N14" i="5"/>
  <c r="N20" i="5" s="1"/>
  <c r="AQ12" i="5"/>
  <c r="AP20" i="5"/>
  <c r="AC36" i="4"/>
  <c r="AC42" i="4" s="1"/>
  <c r="AC36" i="3"/>
  <c r="AC42" i="3" s="1"/>
  <c r="AC8" i="5"/>
  <c r="AC14" i="5" s="1"/>
  <c r="AB16" i="5"/>
  <c r="AQ38" i="3"/>
  <c r="AQ16" i="5" s="1"/>
  <c r="AR36" i="4"/>
  <c r="AR42" i="4" s="1"/>
  <c r="O18" i="5"/>
  <c r="P18" i="5" s="1"/>
  <c r="P40" i="3"/>
  <c r="O13" i="5"/>
  <c r="P13" i="5" s="1"/>
  <c r="P35" i="3"/>
  <c r="AB42" i="4"/>
  <c r="AU45" i="4"/>
  <c r="AU45" i="3"/>
  <c r="O10" i="5"/>
  <c r="P10" i="5" s="1"/>
  <c r="AC38" i="4"/>
  <c r="O8" i="5"/>
  <c r="O36" i="3"/>
  <c r="P30" i="3"/>
  <c r="O42" i="2"/>
  <c r="O44" i="2" s="1"/>
  <c r="S44" i="2" s="1"/>
  <c r="P36" i="2"/>
  <c r="AC17" i="5"/>
  <c r="AD10" i="5" l="1"/>
  <c r="AD18" i="5"/>
  <c r="AD38" i="3"/>
  <c r="AV31" i="2"/>
  <c r="AF33" i="2"/>
  <c r="AD17" i="5"/>
  <c r="AS12" i="5"/>
  <c r="AQ14" i="5"/>
  <c r="AR8" i="5"/>
  <c r="AR36" i="3"/>
  <c r="AR42" i="3" s="1"/>
  <c r="AS38" i="4"/>
  <c r="O42" i="3"/>
  <c r="P36" i="3"/>
  <c r="AE38" i="2"/>
  <c r="AF38" i="2" s="1"/>
  <c r="AF40" i="2"/>
  <c r="O14" i="5"/>
  <c r="P8" i="5"/>
  <c r="AR18" i="5"/>
  <c r="AR38" i="3"/>
  <c r="AR16" i="5" s="1"/>
  <c r="AC18" i="5"/>
  <c r="AC20" i="5" s="1"/>
  <c r="AC38" i="3"/>
  <c r="AC16" i="5" s="1"/>
  <c r="AD36" i="4"/>
  <c r="AD42" i="4" s="1"/>
  <c r="AT38" i="2"/>
  <c r="AS17" i="5"/>
  <c r="AD38" i="4"/>
  <c r="AT13" i="5"/>
  <c r="AS8" i="5"/>
  <c r="T44" i="2"/>
  <c r="U44" i="2" s="1"/>
  <c r="V44" i="2" s="1"/>
  <c r="W44" i="2" s="1"/>
  <c r="X44" i="2" s="1"/>
  <c r="Y44" i="2" s="1"/>
  <c r="Z44" i="2" s="1"/>
  <c r="AA44" i="2" s="1"/>
  <c r="AB44" i="2" s="1"/>
  <c r="AS11" i="5"/>
  <c r="AS13" i="5"/>
  <c r="AS36" i="4"/>
  <c r="AS42" i="4" s="1"/>
  <c r="AR13" i="5"/>
  <c r="M22" i="5"/>
  <c r="N44" i="3"/>
  <c r="O42" i="4"/>
  <c r="O44" i="4" s="1"/>
  <c r="P36" i="4"/>
  <c r="AF39" i="4"/>
  <c r="AD16" i="5" l="1"/>
  <c r="AR14" i="5"/>
  <c r="AR20" i="5" s="1"/>
  <c r="AF35" i="3"/>
  <c r="AT12" i="5"/>
  <c r="O20" i="5"/>
  <c r="P14" i="5"/>
  <c r="AT11" i="5"/>
  <c r="AV40" i="2"/>
  <c r="D10" i="2" s="1"/>
  <c r="AS36" i="3"/>
  <c r="AS42" i="3" s="1"/>
  <c r="AT9" i="5"/>
  <c r="AQ20" i="5"/>
  <c r="AV39" i="4"/>
  <c r="S44" i="4"/>
  <c r="AS14" i="5"/>
  <c r="AT36" i="2"/>
  <c r="AT42" i="2" s="1"/>
  <c r="AF33" i="4"/>
  <c r="AV39" i="2"/>
  <c r="N22" i="5"/>
  <c r="O44" i="3"/>
  <c r="AV35" i="2"/>
  <c r="AD12" i="5"/>
  <c r="AT18" i="5"/>
  <c r="AT38" i="3"/>
  <c r="AD11" i="5"/>
  <c r="AC43" i="2"/>
  <c r="AC44" i="2" s="1"/>
  <c r="AE11" i="5"/>
  <c r="AF33" i="3"/>
  <c r="AS18" i="5"/>
  <c r="AS38" i="3"/>
  <c r="AS16" i="5" s="1"/>
  <c r="AE38" i="4"/>
  <c r="AF38" i="4" s="1"/>
  <c r="AF40" i="4"/>
  <c r="AE18" i="5"/>
  <c r="AF18" i="5" s="1"/>
  <c r="AE38" i="3"/>
  <c r="AF40" i="3"/>
  <c r="AD8" i="5"/>
  <c r="AD36" i="3"/>
  <c r="AD42" i="3" s="1"/>
  <c r="AT38" i="4"/>
  <c r="AF32" i="4"/>
  <c r="AD13" i="5"/>
  <c r="AU36" i="2"/>
  <c r="AV30" i="2"/>
  <c r="E10" i="2" s="1"/>
  <c r="D9" i="1" s="1"/>
  <c r="AV33" i="4"/>
  <c r="AF35" i="4"/>
  <c r="AT36" i="4"/>
  <c r="AT42" i="4" s="1"/>
  <c r="AT17" i="5"/>
  <c r="AF34" i="4"/>
  <c r="AV33" i="2"/>
  <c r="F10" i="2" s="1"/>
  <c r="D10" i="1" s="1"/>
  <c r="AT36" i="3"/>
  <c r="AT42" i="3" s="1"/>
  <c r="AT8" i="5"/>
  <c r="AE36" i="2"/>
  <c r="AF30" i="2"/>
  <c r="AV34" i="2"/>
  <c r="AF11" i="5" l="1"/>
  <c r="AD14" i="5"/>
  <c r="AD20" i="5" s="1"/>
  <c r="AT14" i="5"/>
  <c r="AT20" i="5" s="1"/>
  <c r="AS20" i="5"/>
  <c r="AV34" i="3"/>
  <c r="AD43" i="2"/>
  <c r="AE36" i="4"/>
  <c r="AF30" i="4"/>
  <c r="O22" i="5"/>
  <c r="S44" i="3"/>
  <c r="AE16" i="5"/>
  <c r="AF16" i="5" s="1"/>
  <c r="AF38" i="3"/>
  <c r="AE17" i="5"/>
  <c r="AF17" i="5" s="1"/>
  <c r="AF39" i="3"/>
  <c r="AE12" i="5"/>
  <c r="AF12" i="5" s="1"/>
  <c r="AF34" i="3"/>
  <c r="AE10" i="5"/>
  <c r="AF10" i="5" s="1"/>
  <c r="AF32" i="3"/>
  <c r="T44" i="4"/>
  <c r="U44" i="4" s="1"/>
  <c r="V44" i="4" s="1"/>
  <c r="W44" i="4" s="1"/>
  <c r="X44" i="4" s="1"/>
  <c r="Y44" i="4" s="1"/>
  <c r="Z44" i="4" s="1"/>
  <c r="AA44" i="4" s="1"/>
  <c r="AB44" i="4" s="1"/>
  <c r="AE8" i="5"/>
  <c r="AE36" i="3"/>
  <c r="AF30" i="3"/>
  <c r="AT16" i="5"/>
  <c r="AV31" i="4"/>
  <c r="AV35" i="4"/>
  <c r="AV34" i="4"/>
  <c r="AE42" i="2"/>
  <c r="AF36" i="2"/>
  <c r="AU9" i="5"/>
  <c r="AV9" i="5" s="1"/>
  <c r="AV31" i="3"/>
  <c r="AU17" i="5"/>
  <c r="AV17" i="5" s="1"/>
  <c r="AV39" i="3"/>
  <c r="AU38" i="4"/>
  <c r="AV38" i="4" s="1"/>
  <c r="AV40" i="4"/>
  <c r="D10" i="4" s="1"/>
  <c r="AU42" i="2"/>
  <c r="AV36" i="2"/>
  <c r="AU36" i="3"/>
  <c r="AV30" i="3"/>
  <c r="E10" i="3" s="1"/>
  <c r="E9" i="1" s="1"/>
  <c r="AU11" i="5"/>
  <c r="AV11" i="5" s="1"/>
  <c r="AV33" i="3"/>
  <c r="AU13" i="5"/>
  <c r="AV13" i="5" s="1"/>
  <c r="AV35" i="3"/>
  <c r="D8" i="1"/>
  <c r="AU38" i="2"/>
  <c r="AV38" i="2" s="1"/>
  <c r="AE13" i="5"/>
  <c r="AF13" i="5" s="1"/>
  <c r="F10" i="4" l="1"/>
  <c r="F10" i="1" s="1"/>
  <c r="F10" i="3"/>
  <c r="E10" i="1" s="1"/>
  <c r="AU36" i="4"/>
  <c r="AV30" i="4"/>
  <c r="E10" i="4" s="1"/>
  <c r="F9" i="1" s="1"/>
  <c r="T44" i="3"/>
  <c r="U44" i="3" s="1"/>
  <c r="V44" i="3" s="1"/>
  <c r="W44" i="3" s="1"/>
  <c r="X44" i="3" s="1"/>
  <c r="Y44" i="3" s="1"/>
  <c r="Z44" i="3" s="1"/>
  <c r="AA44" i="3" s="1"/>
  <c r="AB44" i="3" s="1"/>
  <c r="S22" i="5"/>
  <c r="T22" i="5" s="1"/>
  <c r="U22" i="5" s="1"/>
  <c r="V22" i="5" s="1"/>
  <c r="W22" i="5" s="1"/>
  <c r="X22" i="5" s="1"/>
  <c r="Y22" i="5" s="1"/>
  <c r="Z22" i="5" s="1"/>
  <c r="AA22" i="5" s="1"/>
  <c r="AB22" i="5" s="1"/>
  <c r="AD44" i="2"/>
  <c r="AE14" i="5"/>
  <c r="AF8" i="5"/>
  <c r="AC43" i="4"/>
  <c r="AU18" i="5"/>
  <c r="AV18" i="5" s="1"/>
  <c r="AU38" i="3"/>
  <c r="AV40" i="3"/>
  <c r="D10" i="3" s="1"/>
  <c r="F8" i="1"/>
  <c r="AE42" i="4"/>
  <c r="AF36" i="4"/>
  <c r="AU42" i="3"/>
  <c r="AV36" i="3"/>
  <c r="AU8" i="5"/>
  <c r="AE42" i="3"/>
  <c r="AF36" i="3"/>
  <c r="AU12" i="5"/>
  <c r="AV12" i="5" s="1"/>
  <c r="AE43" i="2" l="1"/>
  <c r="AF43" i="2" s="1"/>
  <c r="AU14" i="5"/>
  <c r="AV8" i="5"/>
  <c r="AU16" i="5"/>
  <c r="AV16" i="5" s="1"/>
  <c r="AV38" i="3"/>
  <c r="AC43" i="3"/>
  <c r="AC44" i="3" s="1"/>
  <c r="AC44" i="4"/>
  <c r="AU42" i="4"/>
  <c r="AV36" i="4"/>
  <c r="AE20" i="5"/>
  <c r="AF14" i="5"/>
  <c r="E8" i="1"/>
  <c r="AD43" i="3" l="1"/>
  <c r="AD43" i="4"/>
  <c r="AC21" i="5"/>
  <c r="AU20" i="5"/>
  <c r="AV14" i="5"/>
  <c r="AE44" i="2"/>
  <c r="AC22" i="5" l="1"/>
  <c r="AI44" i="2"/>
  <c r="H10" i="2"/>
  <c r="AD44" i="4"/>
  <c r="AD21" i="5"/>
  <c r="AD44" i="3"/>
  <c r="AD22" i="5" l="1"/>
  <c r="D12" i="1"/>
  <c r="AJ43" i="2"/>
  <c r="AE43" i="4"/>
  <c r="AF43" i="4" s="1"/>
  <c r="AE43" i="3"/>
  <c r="AE44" i="3" s="1"/>
  <c r="AI44" i="3" l="1"/>
  <c r="H10" i="3"/>
  <c r="AE44" i="4"/>
  <c r="AJ44" i="2"/>
  <c r="AE21" i="5"/>
  <c r="AF43" i="3"/>
  <c r="AF21" i="5" l="1"/>
  <c r="AE22" i="5"/>
  <c r="H10" i="4"/>
  <c r="AI44" i="4"/>
  <c r="AI22" i="5" s="1"/>
  <c r="AK43" i="2"/>
  <c r="AK44" i="2" s="1"/>
  <c r="E12" i="1"/>
  <c r="AJ43" i="3"/>
  <c r="AL43" i="2" l="1"/>
  <c r="AL44" i="2" s="1"/>
  <c r="AJ43" i="4"/>
  <c r="AJ44" i="4" s="1"/>
  <c r="AJ44" i="3"/>
  <c r="F12" i="1"/>
  <c r="AK43" i="4" l="1"/>
  <c r="AK44" i="4" s="1"/>
  <c r="AM43" i="2"/>
  <c r="AK43" i="3"/>
  <c r="AJ21" i="5"/>
  <c r="AL43" i="4" l="1"/>
  <c r="AL44" i="4" s="1"/>
  <c r="AK21" i="5"/>
  <c r="AJ22" i="5"/>
  <c r="AM44" i="2"/>
  <c r="AK44" i="3"/>
  <c r="AK22" i="5" l="1"/>
  <c r="AM43" i="4"/>
  <c r="AM44" i="4" s="1"/>
  <c r="AN43" i="2"/>
  <c r="AN44" i="2" s="1"/>
  <c r="AL43" i="3"/>
  <c r="AO43" i="2" l="1"/>
  <c r="AO44" i="2" s="1"/>
  <c r="AN43" i="4"/>
  <c r="AL21" i="5"/>
  <c r="AL44" i="3"/>
  <c r="AP43" i="2" l="1"/>
  <c r="AP44" i="2" s="1"/>
  <c r="AM43" i="3"/>
  <c r="AL22" i="5"/>
  <c r="AN44" i="4"/>
  <c r="AQ43" i="2" l="1"/>
  <c r="AQ44" i="2" s="1"/>
  <c r="AO43" i="4"/>
  <c r="AO44" i="4" s="1"/>
  <c r="AM21" i="5"/>
  <c r="AM44" i="3"/>
  <c r="AP43" i="4" l="1"/>
  <c r="AP44" i="4" s="1"/>
  <c r="AR43" i="2"/>
  <c r="AR44" i="2" s="1"/>
  <c r="AN43" i="3"/>
  <c r="AM22" i="5"/>
  <c r="AQ43" i="4" l="1"/>
  <c r="AQ44" i="4" s="1"/>
  <c r="AN21" i="5"/>
  <c r="AN44" i="3"/>
  <c r="AS43" i="2"/>
  <c r="AS44" i="2" s="1"/>
  <c r="AT43" i="2" l="1"/>
  <c r="AT44" i="2" s="1"/>
  <c r="AR43" i="4"/>
  <c r="AR44" i="4" s="1"/>
  <c r="AO43" i="3"/>
  <c r="AO21" i="5" s="1"/>
  <c r="AN22" i="5"/>
  <c r="AO22" i="5" l="1"/>
  <c r="AS43" i="4"/>
  <c r="AS44" i="4" s="1"/>
  <c r="AU43" i="2"/>
  <c r="AV43" i="2" s="1"/>
  <c r="I10" i="2" s="1"/>
  <c r="AO44" i="3"/>
  <c r="AT43" i="4" l="1"/>
  <c r="AT44" i="4" s="1"/>
  <c r="AP43" i="3"/>
  <c r="AP21" i="5" s="1"/>
  <c r="AP22" i="5" s="1"/>
  <c r="D13" i="1"/>
  <c r="J10" i="2"/>
  <c r="AU44" i="2"/>
  <c r="AU43" i="4" l="1"/>
  <c r="AV43" i="4" s="1"/>
  <c r="I10" i="4" s="1"/>
  <c r="D14" i="1"/>
  <c r="AP44" i="3"/>
  <c r="AQ43" i="3" l="1"/>
  <c r="AQ21" i="5" s="1"/>
  <c r="AQ22" i="5" s="1"/>
  <c r="F13" i="1"/>
  <c r="F14" i="1" s="1"/>
  <c r="J10" i="4"/>
  <c r="D16" i="1"/>
  <c r="AU44" i="4"/>
  <c r="F16" i="1" l="1"/>
  <c r="AQ44" i="3"/>
  <c r="AR43" i="3" l="1"/>
  <c r="AR21" i="5" s="1"/>
  <c r="AR22" i="5" s="1"/>
  <c r="AR44" i="3" l="1"/>
  <c r="AS43" i="3" l="1"/>
  <c r="AS21" i="5" s="1"/>
  <c r="AS22" i="5" s="1"/>
  <c r="AS44" i="3" l="1"/>
  <c r="AT43" i="3" l="1"/>
  <c r="AT21" i="5" s="1"/>
  <c r="AT22" i="5" s="1"/>
  <c r="AT44" i="3" l="1"/>
  <c r="AU43" i="3" l="1"/>
  <c r="AU21" i="5" l="1"/>
  <c r="AV43" i="3"/>
  <c r="I10" i="3" s="1"/>
  <c r="AU44" i="3"/>
  <c r="E13" i="1" l="1"/>
  <c r="J10" i="3"/>
  <c r="AV21" i="5"/>
  <c r="AU22" i="5"/>
  <c r="E14" i="1" l="1"/>
  <c r="F18" i="1" l="1"/>
  <c r="F19" i="1" s="1"/>
  <c r="F22" i="1" s="1"/>
  <c r="D18" i="1"/>
  <c r="D19" i="1" l="1"/>
  <c r="D22" i="1" l="1"/>
  <c r="E22" i="1" s="1"/>
</calcChain>
</file>

<file path=xl/sharedStrings.xml><?xml version="1.0" encoding="utf-8"?>
<sst xmlns="http://schemas.openxmlformats.org/spreadsheetml/2006/main" count="504" uniqueCount="125">
  <si>
    <t>Cape Light Compact JPE</t>
  </si>
  <si>
    <t>$ in Thousands</t>
  </si>
  <si>
    <t>Line</t>
  </si>
  <si>
    <t>Item</t>
  </si>
  <si>
    <t>Residential</t>
  </si>
  <si>
    <t>Residential 
Low Income</t>
  </si>
  <si>
    <t>Commercial &amp; Industrial</t>
  </si>
  <si>
    <t>Reference</t>
  </si>
  <si>
    <t>Col. A</t>
  </si>
  <si>
    <t>Col. B</t>
  </si>
  <si>
    <t>Col. C</t>
  </si>
  <si>
    <t>Program Expenditures</t>
  </si>
  <si>
    <t>Residential - C&amp;I Energy Efficiency Revenue Requirement, Col. B</t>
  </si>
  <si>
    <t>SBC Revenue</t>
  </si>
  <si>
    <t>Residential - C&amp;I Energy Efficiency Revenue Requirement, Col. C</t>
  </si>
  <si>
    <t>Other Revenue</t>
  </si>
  <si>
    <t>Residential - C&amp;I Energy Efficiency Revenue Requirement, Col. D</t>
  </si>
  <si>
    <t>Forecasted EERF Revenue</t>
  </si>
  <si>
    <t>Residential - C&amp;I Energy Efficiency Revenue Requirement, Col. E</t>
  </si>
  <si>
    <t>Prior Year Deferral w/ Interest</t>
  </si>
  <si>
    <t>Residential - C&amp;I Energy Efficiency Revenue Requirement, Col. F</t>
  </si>
  <si>
    <t>Interest on Deferral</t>
  </si>
  <si>
    <t>Residential - C&amp;I Energy Efficiency Revenue Requirement, Col. G</t>
  </si>
  <si>
    <t>Revenue Requirement</t>
  </si>
  <si>
    <t>Sum of Lines 1 through 6</t>
  </si>
  <si>
    <t>Forecasted kWh</t>
  </si>
  <si>
    <t>kWh Sales Forecast for Jan 1, 2026 through Dec 31, 2026</t>
  </si>
  <si>
    <t xml:space="preserve">EERF before Low Income Allocation </t>
  </si>
  <si>
    <t>Line 7 * 1000 / Line 8</t>
  </si>
  <si>
    <t>Low Income Allocation %</t>
  </si>
  <si>
    <t>See D.P.U. 22-22</t>
  </si>
  <si>
    <t>Low Income Rev. Req. Allocation</t>
  </si>
  <si>
    <t>Line 10 * Col. B, Line 7</t>
  </si>
  <si>
    <t xml:space="preserve">Revenue Requirement </t>
  </si>
  <si>
    <t>Line 7 + Line 11</t>
  </si>
  <si>
    <t>Col. A, Line 8 + Col. B, Line 8</t>
  </si>
  <si>
    <t xml:space="preserve"> </t>
  </si>
  <si>
    <t>Line 12 * 1000 / Line 13</t>
  </si>
  <si>
    <t>FCM, RGGI,</t>
  </si>
  <si>
    <t>Past Period</t>
  </si>
  <si>
    <t>EE</t>
  </si>
  <si>
    <t>EE Charge</t>
  </si>
  <si>
    <t xml:space="preserve">&amp; Other </t>
  </si>
  <si>
    <t>Forecasted</t>
  </si>
  <si>
    <t>Reconciliation</t>
  </si>
  <si>
    <t>Interest</t>
  </si>
  <si>
    <t>Total</t>
  </si>
  <si>
    <t>Year</t>
  </si>
  <si>
    <t>Expenses</t>
  </si>
  <si>
    <t>Revenues</t>
  </si>
  <si>
    <t>EERF Revenues</t>
  </si>
  <si>
    <t>with Interest</t>
  </si>
  <si>
    <t>on Deferral</t>
  </si>
  <si>
    <t>EERF</t>
  </si>
  <si>
    <t>Col. D</t>
  </si>
  <si>
    <t>Col. E</t>
  </si>
  <si>
    <t>Col. F</t>
  </si>
  <si>
    <t>Col. G</t>
  </si>
  <si>
    <t>Col. H</t>
  </si>
  <si>
    <t>EEE</t>
  </si>
  <si>
    <t>EEC</t>
  </si>
  <si>
    <t>OR</t>
  </si>
  <si>
    <t>PPRA</t>
  </si>
  <si>
    <t>I</t>
  </si>
  <si>
    <t>Col. A:</t>
  </si>
  <si>
    <t>Effective year (January 1, 2026 - December 31, 2026).</t>
  </si>
  <si>
    <t>Col. B:</t>
  </si>
  <si>
    <t>Col. C:</t>
  </si>
  <si>
    <t>Col. D:</t>
  </si>
  <si>
    <t>Col. E:</t>
  </si>
  <si>
    <t>Col. F:</t>
  </si>
  <si>
    <t>Col. G:</t>
  </si>
  <si>
    <t>Col. H:</t>
  </si>
  <si>
    <t>Col. B + Col. C + Col. D + Col. E + Col. F. + Col. G.</t>
  </si>
  <si>
    <t>Col. I</t>
  </si>
  <si>
    <t>Col. J</t>
  </si>
  <si>
    <t>Col. K</t>
  </si>
  <si>
    <t>Col. L</t>
  </si>
  <si>
    <t>Col. M</t>
  </si>
  <si>
    <t>Col. N</t>
  </si>
  <si>
    <t>Actual</t>
  </si>
  <si>
    <t>Description</t>
  </si>
  <si>
    <t>SBC Revenues</t>
  </si>
  <si>
    <t>EES Revenues, 1/1/2024-6/30/2024</t>
  </si>
  <si>
    <t>EES Revenues, 1/1/2025-6/30/2025</t>
  </si>
  <si>
    <t>EES Revenues</t>
  </si>
  <si>
    <t>EES Revenues, 7/1/2024-12/31/2024</t>
  </si>
  <si>
    <t>EES Revenues, 7/1/2025-12/31/2025</t>
  </si>
  <si>
    <t>FCM Revenues*</t>
  </si>
  <si>
    <t>RGGI Revenues**</t>
  </si>
  <si>
    <t>Other Revenues***</t>
  </si>
  <si>
    <t>Total Energy Efficiency Revenues</t>
  </si>
  <si>
    <t>Energy Efficiency Expenditures - PA Models</t>
  </si>
  <si>
    <t>Energy Efficiency Expenditures - Electrification Pool</t>
  </si>
  <si>
    <t>Total Energy Efficiency Expenses</t>
  </si>
  <si>
    <t>Deferral (Over)/Under Recovery</t>
  </si>
  <si>
    <t>Interest on Deferral Balance</t>
  </si>
  <si>
    <t>(Over)/Under Ending Balance</t>
  </si>
  <si>
    <t>Interest Rate Applied to Deferral Balance</t>
  </si>
  <si>
    <t>*Sector portion of revenues are allocated based on forecasted 2024 kWh sales.</t>
  </si>
  <si>
    <t>**Sector portion of revenues are allocated based on greenhouse gas reductions.</t>
  </si>
  <si>
    <t>***Other Revenue represents any RPS and APS credits associated with CVEO participants.</t>
  </si>
  <si>
    <t>Planned</t>
  </si>
  <si>
    <t>Billed</t>
  </si>
  <si>
    <t>2026 Residential Energy Efficiency Revenue Requirement</t>
  </si>
  <si>
    <t>2026 Residential Monthly Deferral, Line 9, Cols. N.</t>
  </si>
  <si>
    <t>2026 Residential Monthly Deferral, Line 1, Cols. N.</t>
  </si>
  <si>
    <t>2026 Residential Monthly Deferral, Line 3, Cols. N + Line 4, Cols. N + Line 5, Cols. N.</t>
  </si>
  <si>
    <t>2026 Residential Monthly Deferral, Line 2, Cols. N</t>
  </si>
  <si>
    <t>2026 Residential Monthly Deferral, Line 12, Cols. A.</t>
  </si>
  <si>
    <t>2026 Residential Monthly Deferral, Line 11, Cols. N.</t>
  </si>
  <si>
    <t>2026 Low-Income Energy Efficiency Revenue Requirement</t>
  </si>
  <si>
    <t>2026 Low-Income Monthly Deferral, Line 9, Cols. N.</t>
  </si>
  <si>
    <t>2026 Low-Income Monthly Deferral, Line 1, Cols. N.</t>
  </si>
  <si>
    <t>2026 Low-Income Monthly Deferral, Line 3, Cols. N + Line 4, Cols. N + Line 5, Cols. N.</t>
  </si>
  <si>
    <t>2026 Low-Income Monthly Deferral, Line 2, Cols. N</t>
  </si>
  <si>
    <t>2026 Low-Income Monthly Deferral, Line 12, Cols. A.</t>
  </si>
  <si>
    <t>2026 Low-Income Monthly Deferral, Line 11, Cols. N.</t>
  </si>
  <si>
    <t>2026 Commercial &amp; Industrial Energy Efficiency Revenue Requirement</t>
  </si>
  <si>
    <t>2026 Commercial &amp; Industrial Monthly Deferral, Line 9, Cols. N.</t>
  </si>
  <si>
    <t>2026 Commercial &amp; Industrial Monthly Deferral, Line 1, Cols. N.</t>
  </si>
  <si>
    <t>2026 Commercial &amp; Industrial Monthly Deferral, Line 3, Cols. N + Line 4, Cols. N + Line 5, Cols. N.</t>
  </si>
  <si>
    <t>2026 Commercial &amp; Industrial Monthly Deferral, Line 2, Cols. N</t>
  </si>
  <si>
    <t>2026 Commercial &amp; Industrial Monthly Deferral, Line 12, Cols. A.</t>
  </si>
  <si>
    <t>2026 Commercial &amp; Industrial Monthly Deferral, Line 11, Cols.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</si>
</sst>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&quot;$&quot;* #,##0.00000_);_(&quot;$&quot;* \(#,##0.00000\);_(&quot;$&quot;* &quot;-&quot;??_);_(@_)"/>
    <numFmt numFmtId="168" formatCode="0.000%"/>
    <numFmt numFmtId="169" formatCode="0.0%"/>
    <numFmt numFmtId="170" formatCode="_(* #,##0.000_);_(* \(#,##0.000\);_(* &quot;-&quot;??_);_(@_)"/>
    <numFmt numFmtId="171" formatCode="_(&quot;$&quot;* #,##0.000_);_(&quot;$&quot;* \(#,##0.000\);_(&quot;$&quot;* &quot;-&quot;???_);_(@_)"/>
    <numFmt numFmtId="172" formatCode="_(&quot;$&quot;* #,##0.000_);_(&quot;$&quot;* \(#,##0.000\);_(&quot;$&quot;* &quot;-&quot;_);_(@_)"/>
    <numFmt numFmtId="173" formatCode="_(* #,##0.000_);_(* \(#,##0.000\);_(* &quot;-&quot;???_);_(@_)"/>
    <numFmt numFmtId="174" formatCode="0.0000"/>
    <numFmt numFmtId="175" formatCode="_(&quot;$&quot;* #,##0_);_(&quot;$&quot;* \(#,##0\);_(&quot;$&quot;* &quot;-&quot;???_);_(@_)"/>
    <numFmt numFmtId="176" formatCode="[$-409]mmm\-yy;@"/>
    <numFmt numFmtId="177" formatCode="_(* #,##0.000_);_(* \(#,##0.000\);_(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u val="doubleAccounting"/>
      <sz val="1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3" fillId="0" borderId="0" xfId="4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right"/>
    </xf>
    <xf numFmtId="0" fontId="5" fillId="0" borderId="0" xfId="4" applyFont="1" applyAlignment="1">
      <alignment horizontal="left"/>
    </xf>
    <xf numFmtId="0" fontId="6" fillId="0" borderId="0" xfId="4" applyFont="1" applyAlignment="1">
      <alignment horizontal="center"/>
    </xf>
    <xf numFmtId="0" fontId="3" fillId="0" borderId="0" xfId="4" applyAlignment="1">
      <alignment horizontal="center"/>
    </xf>
    <xf numFmtId="164" fontId="3" fillId="0" borderId="0" xfId="5" applyNumberFormat="1" applyFont="1" applyFill="1"/>
    <xf numFmtId="165" fontId="3" fillId="0" borderId="0" xfId="5" applyNumberFormat="1" applyFont="1" applyFill="1"/>
    <xf numFmtId="0" fontId="3" fillId="0" borderId="0" xfId="6"/>
    <xf numFmtId="43" fontId="3" fillId="0" borderId="0" xfId="5" applyNumberFormat="1" applyFont="1" applyFill="1"/>
    <xf numFmtId="166" fontId="3" fillId="0" borderId="0" xfId="5" applyNumberFormat="1" applyFont="1" applyFill="1"/>
    <xf numFmtId="164" fontId="7" fillId="0" borderId="0" xfId="5" applyNumberFormat="1" applyFont="1" applyFill="1"/>
    <xf numFmtId="166" fontId="7" fillId="0" borderId="0" xfId="5" applyNumberFormat="1" applyFont="1" applyFill="1"/>
    <xf numFmtId="3" fontId="8" fillId="0" borderId="0" xfId="4" applyNumberFormat="1" applyFont="1"/>
    <xf numFmtId="167" fontId="3" fillId="0" borderId="0" xfId="5" applyNumberFormat="1" applyFont="1" applyFill="1"/>
    <xf numFmtId="168" fontId="3" fillId="0" borderId="0" xfId="7" applyNumberFormat="1" applyFont="1" applyFill="1"/>
    <xf numFmtId="0" fontId="9" fillId="0" borderId="0" xfId="4" applyFont="1"/>
    <xf numFmtId="169" fontId="3" fillId="0" borderId="0" xfId="7" applyNumberFormat="1" applyFont="1" applyFill="1"/>
    <xf numFmtId="164" fontId="9" fillId="0" borderId="0" xfId="4" applyNumberFormat="1" applyFont="1"/>
    <xf numFmtId="167" fontId="3" fillId="0" borderId="0" xfId="2" applyNumberFormat="1" applyFont="1" applyFill="1"/>
    <xf numFmtId="167" fontId="3" fillId="0" borderId="0" xfId="5" applyNumberFormat="1" applyFont="1"/>
    <xf numFmtId="167" fontId="3" fillId="0" borderId="0" xfId="4" applyNumberFormat="1"/>
    <xf numFmtId="167" fontId="9" fillId="0" borderId="0" xfId="5" applyNumberFormat="1" applyFont="1"/>
    <xf numFmtId="167" fontId="10" fillId="0" borderId="0" xfId="5" applyNumberFormat="1" applyFont="1" applyFill="1"/>
    <xf numFmtId="0" fontId="2" fillId="0" borderId="0" xfId="0" applyFont="1"/>
    <xf numFmtId="0" fontId="11" fillId="0" borderId="0" xfId="0" applyFont="1"/>
    <xf numFmtId="9" fontId="2" fillId="0" borderId="0" xfId="3" applyFont="1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3" fillId="0" borderId="0" xfId="6" applyAlignment="1">
      <alignment horizontal="center"/>
    </xf>
    <xf numFmtId="0" fontId="3" fillId="0" borderId="0" xfId="6" applyAlignment="1">
      <alignment horizontal="center"/>
    </xf>
    <xf numFmtId="1" fontId="3" fillId="0" borderId="1" xfId="6" applyNumberFormat="1" applyBorder="1" applyAlignment="1">
      <alignment horizontal="center"/>
    </xf>
    <xf numFmtId="1" fontId="3" fillId="0" borderId="0" xfId="6" applyNumberFormat="1" applyAlignment="1">
      <alignment horizontal="center"/>
    </xf>
    <xf numFmtId="43" fontId="3" fillId="0" borderId="0" xfId="8" applyFont="1" applyAlignment="1">
      <alignment horizontal="center"/>
    </xf>
    <xf numFmtId="43" fontId="3" fillId="0" borderId="0" xfId="8" applyAlignment="1">
      <alignment horizontal="center"/>
    </xf>
    <xf numFmtId="43" fontId="3" fillId="0" borderId="1" xfId="8" applyBorder="1" applyAlignment="1">
      <alignment horizontal="center"/>
    </xf>
    <xf numFmtId="43" fontId="12" fillId="0" borderId="0" xfId="9" applyFont="1" applyFill="1" applyBorder="1" applyAlignment="1">
      <alignment horizontal="center"/>
    </xf>
    <xf numFmtId="43" fontId="3" fillId="0" borderId="0" xfId="8" applyBorder="1" applyAlignment="1">
      <alignment horizontal="center"/>
    </xf>
    <xf numFmtId="0" fontId="9" fillId="0" borderId="0" xfId="6" applyFont="1"/>
    <xf numFmtId="43" fontId="7" fillId="0" borderId="0" xfId="8" applyFont="1" applyAlignment="1">
      <alignment horizontal="center"/>
    </xf>
    <xf numFmtId="43" fontId="7" fillId="0" borderId="1" xfId="8" applyFont="1" applyBorder="1" applyAlignment="1">
      <alignment horizontal="center"/>
    </xf>
    <xf numFmtId="43" fontId="7" fillId="0" borderId="0" xfId="9" applyFont="1" applyFill="1" applyBorder="1" applyAlignment="1">
      <alignment horizontal="center"/>
    </xf>
    <xf numFmtId="43" fontId="7" fillId="0" borderId="0" xfId="8" applyFont="1" applyBorder="1" applyAlignment="1">
      <alignment horizontal="center"/>
    </xf>
    <xf numFmtId="0" fontId="6" fillId="0" borderId="0" xfId="6" applyFont="1" applyAlignment="1">
      <alignment horizontal="center"/>
    </xf>
    <xf numFmtId="1" fontId="6" fillId="0" borderId="1" xfId="6" quotePrefix="1" applyNumberFormat="1" applyFont="1" applyBorder="1" applyAlignment="1">
      <alignment horizontal="center"/>
    </xf>
    <xf numFmtId="1" fontId="6" fillId="0" borderId="0" xfId="6" quotePrefix="1" applyNumberFormat="1" applyFont="1" applyAlignment="1">
      <alignment horizontal="center"/>
    </xf>
    <xf numFmtId="1" fontId="6" fillId="0" borderId="0" xfId="8" quotePrefix="1" applyNumberFormat="1" applyFont="1" applyAlignment="1">
      <alignment horizontal="center"/>
    </xf>
    <xf numFmtId="1" fontId="3" fillId="0" borderId="0" xfId="8" applyNumberFormat="1" applyAlignment="1">
      <alignment horizontal="center"/>
    </xf>
    <xf numFmtId="171" fontId="3" fillId="0" borderId="1" xfId="5" applyNumberFormat="1" applyFill="1" applyBorder="1"/>
    <xf numFmtId="171" fontId="3" fillId="0" borderId="0" xfId="5" applyNumberFormat="1" applyFill="1"/>
    <xf numFmtId="164" fontId="3" fillId="0" borderId="0" xfId="5" applyNumberFormat="1" applyFill="1"/>
    <xf numFmtId="164" fontId="3" fillId="0" borderId="0" xfId="5" applyNumberFormat="1" applyFill="1" applyBorder="1"/>
    <xf numFmtId="166" fontId="3" fillId="0" borderId="0" xfId="1" applyNumberFormat="1" applyFont="1" applyFill="1"/>
    <xf numFmtId="173" fontId="9" fillId="0" borderId="0" xfId="6" applyNumberFormat="1" applyFont="1"/>
    <xf numFmtId="44" fontId="9" fillId="0" borderId="0" xfId="6" applyNumberFormat="1" applyFont="1"/>
    <xf numFmtId="174" fontId="9" fillId="0" borderId="0" xfId="6" applyNumberFormat="1" applyFont="1"/>
    <xf numFmtId="171" fontId="9" fillId="0" borderId="0" xfId="5" applyNumberFormat="1" applyFont="1" applyFill="1"/>
    <xf numFmtId="9" fontId="9" fillId="0" borderId="0" xfId="3" applyFont="1" applyFill="1"/>
    <xf numFmtId="175" fontId="3" fillId="0" borderId="0" xfId="6" applyNumberFormat="1"/>
    <xf numFmtId="0" fontId="9" fillId="0" borderId="0" xfId="6" applyFont="1" applyAlignment="1">
      <alignment vertical="top" wrapText="1"/>
    </xf>
    <xf numFmtId="0" fontId="3" fillId="0" borderId="0" xfId="6" applyAlignment="1">
      <alignment horizontal="left"/>
    </xf>
    <xf numFmtId="0" fontId="13" fillId="0" borderId="0" xfId="6" applyFont="1"/>
    <xf numFmtId="0" fontId="3" fillId="0" borderId="0" xfId="6" applyAlignment="1">
      <alignment vertical="top"/>
    </xf>
    <xf numFmtId="44" fontId="3" fillId="0" borderId="0" xfId="6" applyNumberFormat="1"/>
    <xf numFmtId="164" fontId="3" fillId="0" borderId="0" xfId="6" applyNumberFormat="1"/>
    <xf numFmtId="0" fontId="6" fillId="0" borderId="0" xfId="6" quotePrefix="1" applyFont="1" applyAlignment="1">
      <alignment horizontal="center"/>
    </xf>
    <xf numFmtId="1" fontId="6" fillId="0" borderId="0" xfId="6" applyNumberFormat="1" applyFont="1" applyAlignment="1">
      <alignment horizontal="center"/>
    </xf>
    <xf numFmtId="176" fontId="7" fillId="0" borderId="0" xfId="6" applyNumberFormat="1" applyFont="1" applyAlignment="1">
      <alignment horizontal="center"/>
    </xf>
    <xf numFmtId="176" fontId="7" fillId="0" borderId="0" xfId="6" applyNumberFormat="1" applyFont="1" applyAlignment="1">
      <alignment horizontal="left"/>
    </xf>
    <xf numFmtId="172" fontId="3" fillId="0" borderId="0" xfId="6" applyNumberFormat="1"/>
    <xf numFmtId="172" fontId="3" fillId="0" borderId="0" xfId="6" applyNumberFormat="1" applyAlignment="1">
      <alignment horizontal="center"/>
    </xf>
    <xf numFmtId="172" fontId="7" fillId="0" borderId="0" xfId="6" applyNumberFormat="1" applyFont="1" applyAlignment="1">
      <alignment horizontal="center"/>
    </xf>
    <xf numFmtId="172" fontId="14" fillId="0" borderId="0" xfId="6" applyNumberFormat="1" applyFont="1" applyAlignment="1">
      <alignment horizontal="center"/>
    </xf>
    <xf numFmtId="41" fontId="3" fillId="0" borderId="0" xfId="6" applyNumberFormat="1"/>
    <xf numFmtId="10" fontId="3" fillId="0" borderId="0" xfId="6" applyNumberFormat="1"/>
    <xf numFmtId="41" fontId="6" fillId="0" borderId="0" xfId="6" applyNumberFormat="1" applyFont="1"/>
    <xf numFmtId="0" fontId="6" fillId="0" borderId="0" xfId="6" applyFont="1"/>
    <xf numFmtId="10" fontId="6" fillId="0" borderId="0" xfId="6" applyNumberFormat="1" applyFont="1"/>
    <xf numFmtId="164" fontId="6" fillId="0" borderId="0" xfId="2" applyNumberFormat="1" applyFont="1"/>
    <xf numFmtId="43" fontId="3" fillId="0" borderId="0" xfId="1" applyFont="1"/>
    <xf numFmtId="10" fontId="15" fillId="0" borderId="0" xfId="6" applyNumberFormat="1" applyFont="1"/>
    <xf numFmtId="0" fontId="16" fillId="0" borderId="0" xfId="6" applyFont="1"/>
    <xf numFmtId="0" fontId="3" fillId="2" borderId="0" xfId="6" applyFill="1"/>
    <xf numFmtId="175" fontId="3" fillId="2" borderId="0" xfId="6" applyNumberFormat="1" applyFill="1"/>
    <xf numFmtId="0" fontId="9" fillId="2" borderId="0" xfId="6" applyFont="1" applyFill="1"/>
    <xf numFmtId="0" fontId="9" fillId="2" borderId="0" xfId="6" applyFont="1" applyFill="1" applyAlignment="1">
      <alignment horizontal="center"/>
    </xf>
    <xf numFmtId="43" fontId="3" fillId="2" borderId="0" xfId="6" applyNumberFormat="1" applyFill="1"/>
    <xf numFmtId="43" fontId="3" fillId="0" borderId="0" xfId="6" applyNumberFormat="1"/>
    <xf numFmtId="171" fontId="3" fillId="0" borderId="0" xfId="6" applyNumberFormat="1"/>
    <xf numFmtId="0" fontId="9" fillId="0" borderId="0" xfId="6" applyFont="1" applyAlignment="1">
      <alignment horizontal="center"/>
    </xf>
    <xf numFmtId="0" fontId="17" fillId="0" borderId="0" xfId="6" applyFont="1"/>
    <xf numFmtId="164" fontId="3" fillId="0" borderId="0" xfId="5" applyNumberFormat="1" applyAlignment="1">
      <alignment horizontal="center"/>
    </xf>
    <xf numFmtId="164" fontId="7" fillId="0" borderId="0" xfId="5" applyNumberFormat="1" applyFont="1" applyAlignment="1">
      <alignment horizontal="center"/>
    </xf>
    <xf numFmtId="170" fontId="7" fillId="0" borderId="0" xfId="8" applyNumberFormat="1" applyFont="1" applyAlignment="1">
      <alignment horizontal="center"/>
    </xf>
    <xf numFmtId="177" fontId="6" fillId="0" borderId="0" xfId="6" applyNumberFormat="1" applyFont="1"/>
    <xf numFmtId="170" fontId="6" fillId="0" borderId="0" xfId="1" applyNumberFormat="1" applyFont="1"/>
    <xf numFmtId="166" fontId="15" fillId="0" borderId="0" xfId="1" applyNumberFormat="1" applyFont="1"/>
    <xf numFmtId="164" fontId="15" fillId="0" borderId="0" xfId="2" applyNumberFormat="1" applyFont="1"/>
    <xf numFmtId="44" fontId="9" fillId="0" borderId="0" xfId="2" applyFont="1"/>
  </cellXfs>
  <cellStyles count="10">
    <cellStyle name="Comma" xfId="1" builtinId="3"/>
    <cellStyle name="Comma 10" xfId="9" xr:uid="{8366E706-DAD0-4915-874A-8AF7649F6336}"/>
    <cellStyle name="Comma 2" xfId="8" xr:uid="{9BAECDDE-C8C5-439D-8746-3F6A490EE8C2}"/>
    <cellStyle name="Currency" xfId="2" builtinId="4"/>
    <cellStyle name="Currency 2" xfId="5" xr:uid="{23AAD0E5-8F8C-46C1-AD7C-993A82BBF49B}"/>
    <cellStyle name="Normal" xfId="0" builtinId="0"/>
    <cellStyle name="Normal 2" xfId="6" xr:uid="{D0260388-F1BE-4669-83E7-F50BB7BDF35F}"/>
    <cellStyle name="Normal 8" xfId="4" xr:uid="{E0F4B963-26F9-4223-962C-3707D090BCE4}"/>
    <cellStyle name="Percent" xfId="3" builtinId="5"/>
    <cellStyle name="Percent 4 2" xfId="7" xr:uid="{9BFAD5AC-6049-4CFC-8267-D63A2F1AE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58D9-5A10-438E-BB56-09FB013EDAB4}">
  <sheetPr codeName="Sheet16"/>
  <dimension ref="B2:X28"/>
  <sheetViews>
    <sheetView showGridLines="0" tabSelected="1" zoomScaleNormal="100" workbookViewId="0"/>
  </sheetViews>
  <sheetFormatPr defaultRowHeight="15" x14ac:dyDescent="0.25"/>
  <cols>
    <col min="1" max="1" width="2.5703125" customWidth="1"/>
    <col min="2" max="2" width="5" bestFit="1" customWidth="1"/>
    <col min="3" max="3" width="32" bestFit="1" customWidth="1"/>
    <col min="4" max="6" width="15.5703125" customWidth="1"/>
    <col min="7" max="7" width="2.5703125" customWidth="1"/>
    <col min="8" max="8" width="56.42578125" bestFit="1" customWidth="1"/>
    <col min="9" max="9" width="2.5703125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1"/>
    </row>
    <row r="3" spans="2:8" x14ac:dyDescent="0.25">
      <c r="B3" s="1" t="str">
        <f>Year2&amp;" Energy Efficiency Reconciliation Factor (EERF)"</f>
        <v>2026 Energy Efficiency Reconciliation Factor (EERF)</v>
      </c>
      <c r="C3" s="1"/>
      <c r="D3" s="1"/>
      <c r="E3" s="1"/>
      <c r="F3" s="1"/>
      <c r="G3" s="1"/>
      <c r="H3" s="1"/>
    </row>
    <row r="4" spans="2:8" x14ac:dyDescent="0.25">
      <c r="B4" s="1" t="s">
        <v>1</v>
      </c>
      <c r="C4" s="1"/>
      <c r="D4" s="1"/>
      <c r="E4" s="1"/>
      <c r="F4" s="1"/>
      <c r="G4" s="1"/>
      <c r="H4" s="1"/>
    </row>
    <row r="5" spans="2:8" x14ac:dyDescent="0.25">
      <c r="B5" s="2"/>
      <c r="C5" s="2"/>
      <c r="D5" s="2"/>
      <c r="E5" s="2"/>
      <c r="F5" s="2"/>
      <c r="G5" s="2"/>
      <c r="H5" s="2"/>
    </row>
    <row r="6" spans="2:8" ht="30" x14ac:dyDescent="0.35">
      <c r="B6" s="4" t="s">
        <v>2</v>
      </c>
      <c r="C6" s="4" t="s">
        <v>3</v>
      </c>
      <c r="D6" s="5" t="s">
        <v>4</v>
      </c>
      <c r="E6" s="5" t="s">
        <v>5</v>
      </c>
      <c r="F6" s="5" t="s">
        <v>6</v>
      </c>
      <c r="G6" s="6"/>
      <c r="H6" s="7" t="s">
        <v>7</v>
      </c>
    </row>
    <row r="7" spans="2:8" ht="16.5" x14ac:dyDescent="0.35">
      <c r="B7" s="4"/>
      <c r="C7" s="8"/>
      <c r="D7" s="8" t="s">
        <v>8</v>
      </c>
      <c r="E7" s="8" t="s">
        <v>9</v>
      </c>
      <c r="F7" s="8" t="s">
        <v>10</v>
      </c>
      <c r="G7" s="8"/>
      <c r="H7" s="8"/>
    </row>
    <row r="8" spans="2:8" x14ac:dyDescent="0.25">
      <c r="B8" s="9">
        <v>1</v>
      </c>
      <c r="C8" s="3" t="s">
        <v>11</v>
      </c>
      <c r="D8" s="10">
        <f>Res!$D$10</f>
        <v>44769.56611339884</v>
      </c>
      <c r="E8" s="10">
        <f>LI!$D$10</f>
        <v>25627.476787774427</v>
      </c>
      <c r="F8" s="10">
        <f>CI!$D$10</f>
        <v>16182.729972081494</v>
      </c>
      <c r="G8" s="11"/>
      <c r="H8" s="3" t="s">
        <v>12</v>
      </c>
    </row>
    <row r="9" spans="2:8" x14ac:dyDescent="0.25">
      <c r="B9" s="9">
        <f>B8+1</f>
        <v>2</v>
      </c>
      <c r="C9" s="3" t="s">
        <v>13</v>
      </c>
      <c r="D9" s="10">
        <f>Res!$E$10</f>
        <v>-3062.3919864964614</v>
      </c>
      <c r="E9" s="10">
        <f>LI!$E$10</f>
        <v>-237.02647465185939</v>
      </c>
      <c r="F9" s="10">
        <f>CI!$E$10</f>
        <v>-2010.4321952714613</v>
      </c>
      <c r="G9" s="13"/>
      <c r="H9" s="3" t="s">
        <v>14</v>
      </c>
    </row>
    <row r="10" spans="2:8" x14ac:dyDescent="0.25">
      <c r="B10" s="9">
        <f t="shared" ref="B10:B18" si="0">B9+1</f>
        <v>3</v>
      </c>
      <c r="C10" s="3" t="s">
        <v>15</v>
      </c>
      <c r="D10" s="10">
        <f>Res!$F$10</f>
        <v>-3574.8556452853522</v>
      </c>
      <c r="E10" s="10">
        <f>LI!$F$10</f>
        <v>-568.54830362320342</v>
      </c>
      <c r="F10" s="10">
        <f>CI!$F$10</f>
        <v>-1657.3817780664119</v>
      </c>
      <c r="G10" s="13"/>
      <c r="H10" s="3" t="s">
        <v>16</v>
      </c>
    </row>
    <row r="11" spans="2:8" x14ac:dyDescent="0.25">
      <c r="B11" s="9">
        <f t="shared" si="0"/>
        <v>4</v>
      </c>
      <c r="C11" s="3" t="s">
        <v>17</v>
      </c>
      <c r="D11" s="10">
        <f>Res!$G$10</f>
        <v>0</v>
      </c>
      <c r="E11" s="10">
        <f>LI!$G$10</f>
        <v>0</v>
      </c>
      <c r="F11" s="10">
        <f>CI!$G$10</f>
        <v>0</v>
      </c>
      <c r="G11" s="13"/>
      <c r="H11" s="3" t="s">
        <v>18</v>
      </c>
    </row>
    <row r="12" spans="2:8" x14ac:dyDescent="0.25">
      <c r="B12" s="9">
        <f t="shared" si="0"/>
        <v>5</v>
      </c>
      <c r="C12" s="3" t="s">
        <v>19</v>
      </c>
      <c r="D12" s="10">
        <f>Res!$H$10</f>
        <v>-4881.102160641577</v>
      </c>
      <c r="E12" s="10">
        <f>LI!$H$10</f>
        <v>253.91232918366188</v>
      </c>
      <c r="F12" s="10">
        <f>CI!$H$10</f>
        <v>-3290.028996010406</v>
      </c>
      <c r="G12" s="14"/>
      <c r="H12" s="3" t="s">
        <v>20</v>
      </c>
    </row>
    <row r="13" spans="2:8" ht="16.5" x14ac:dyDescent="0.35">
      <c r="B13" s="9">
        <f t="shared" si="0"/>
        <v>6</v>
      </c>
      <c r="C13" s="3" t="s">
        <v>21</v>
      </c>
      <c r="D13" s="15">
        <f>Res!$I$10</f>
        <v>19.747890722916559</v>
      </c>
      <c r="E13" s="15">
        <f>LI!$I$10</f>
        <v>74.034038191076149</v>
      </c>
      <c r="F13" s="15">
        <f>CI!$I$10</f>
        <v>-24.495465222083784</v>
      </c>
      <c r="G13" s="16"/>
      <c r="H13" s="3" t="s">
        <v>22</v>
      </c>
    </row>
    <row r="14" spans="2:8" x14ac:dyDescent="0.25">
      <c r="B14" s="9">
        <f t="shared" si="0"/>
        <v>7</v>
      </c>
      <c r="C14" s="3" t="s">
        <v>23</v>
      </c>
      <c r="D14" s="10">
        <f>SUM(D8:D13)</f>
        <v>33270.964211698367</v>
      </c>
      <c r="E14" s="10">
        <f>SUM(E8:E13)</f>
        <v>25149.848376874103</v>
      </c>
      <c r="F14" s="10">
        <f>SUM(F8:F13)</f>
        <v>9200.3915375111301</v>
      </c>
      <c r="G14" s="11"/>
      <c r="H14" s="3" t="s">
        <v>24</v>
      </c>
    </row>
    <row r="15" spans="2:8" x14ac:dyDescent="0.25">
      <c r="B15" s="9">
        <f t="shared" si="0"/>
        <v>8</v>
      </c>
      <c r="C15" s="3" t="s">
        <v>25</v>
      </c>
      <c r="D15" s="17">
        <v>1224956794.5985847</v>
      </c>
      <c r="E15" s="17">
        <v>94810589.860743746</v>
      </c>
      <c r="F15" s="17">
        <v>804172878.10858452</v>
      </c>
      <c r="G15" s="17"/>
      <c r="H15" s="3" t="s">
        <v>26</v>
      </c>
    </row>
    <row r="16" spans="2:8" x14ac:dyDescent="0.25">
      <c r="B16" s="9">
        <f t="shared" si="0"/>
        <v>9</v>
      </c>
      <c r="C16" s="3" t="s">
        <v>27</v>
      </c>
      <c r="D16" s="18">
        <f>ROUND(D14*1000/D15,5)</f>
        <v>2.716E-2</v>
      </c>
      <c r="E16" s="18"/>
      <c r="F16" s="18">
        <f>ROUND(F14*1000/F15,5)</f>
        <v>1.1440000000000001E-2</v>
      </c>
      <c r="G16" s="18"/>
      <c r="H16" s="3" t="s">
        <v>28</v>
      </c>
    </row>
    <row r="17" spans="2:8" x14ac:dyDescent="0.25">
      <c r="B17" s="9">
        <f t="shared" si="0"/>
        <v>10</v>
      </c>
      <c r="C17" s="3" t="s">
        <v>29</v>
      </c>
      <c r="D17" s="19">
        <v>0.50795000000000001</v>
      </c>
      <c r="E17" s="20"/>
      <c r="F17" s="19">
        <v>0.49204999999999999</v>
      </c>
      <c r="G17" s="21"/>
      <c r="H17" s="3" t="s">
        <v>30</v>
      </c>
    </row>
    <row r="18" spans="2:8" x14ac:dyDescent="0.25">
      <c r="B18" s="9">
        <f t="shared" si="0"/>
        <v>11</v>
      </c>
      <c r="C18" s="3" t="s">
        <v>31</v>
      </c>
      <c r="D18" s="10">
        <f>D17*E14</f>
        <v>12774.865483033202</v>
      </c>
      <c r="E18" s="22"/>
      <c r="F18" s="10">
        <f>F17*E14</f>
        <v>12374.982893840901</v>
      </c>
      <c r="G18" s="11"/>
      <c r="H18" s="3" t="s">
        <v>32</v>
      </c>
    </row>
    <row r="19" spans="2:8" x14ac:dyDescent="0.25">
      <c r="B19" s="9">
        <v>12</v>
      </c>
      <c r="C19" s="3" t="s">
        <v>33</v>
      </c>
      <c r="D19" s="10">
        <f>D14+D18</f>
        <v>46045.829694731568</v>
      </c>
      <c r="E19" s="22"/>
      <c r="F19" s="10">
        <f>F14+F18</f>
        <v>21575.374431352029</v>
      </c>
      <c r="G19" s="11"/>
      <c r="H19" s="3" t="s">
        <v>34</v>
      </c>
    </row>
    <row r="20" spans="2:8" x14ac:dyDescent="0.25">
      <c r="B20" s="9">
        <v>13</v>
      </c>
      <c r="C20" s="3" t="s">
        <v>25</v>
      </c>
      <c r="D20" s="17">
        <f>D15+E15</f>
        <v>1319767384.4593284</v>
      </c>
      <c r="E20" s="20"/>
      <c r="F20" s="17">
        <f>F15</f>
        <v>804172878.10858452</v>
      </c>
      <c r="G20" s="17"/>
      <c r="H20" s="3" t="s">
        <v>35</v>
      </c>
    </row>
    <row r="21" spans="2:8" x14ac:dyDescent="0.25">
      <c r="B21" s="9" t="s">
        <v>36</v>
      </c>
      <c r="C21" s="3"/>
      <c r="D21" s="17"/>
      <c r="E21" s="20"/>
      <c r="F21" s="17"/>
      <c r="G21" s="17"/>
      <c r="H21" s="3"/>
    </row>
    <row r="22" spans="2:8" x14ac:dyDescent="0.25">
      <c r="B22" s="9">
        <v>14</v>
      </c>
      <c r="C22" s="3" t="str">
        <f>Year2&amp;" EERF"</f>
        <v>2026 EERF</v>
      </c>
      <c r="D22" s="23">
        <f>TRUNC((D19*1000/D20),5)</f>
        <v>3.4880000000000001E-2</v>
      </c>
      <c r="E22" s="23">
        <f>D22</f>
        <v>3.4880000000000001E-2</v>
      </c>
      <c r="F22" s="23">
        <f>TRUNC((F19*1000/F20),5)</f>
        <v>2.682E-2</v>
      </c>
      <c r="G22" s="18"/>
      <c r="H22" s="3" t="s">
        <v>37</v>
      </c>
    </row>
    <row r="23" spans="2:8" x14ac:dyDescent="0.25">
      <c r="G23" s="24"/>
      <c r="H23" s="3"/>
    </row>
    <row r="24" spans="2:8" x14ac:dyDescent="0.25">
      <c r="B24" s="9"/>
      <c r="C24" s="3"/>
      <c r="D24" s="24"/>
      <c r="E24" s="25"/>
      <c r="F24" s="26"/>
      <c r="G24" s="24"/>
      <c r="H24" s="3"/>
    </row>
    <row r="25" spans="2:8" x14ac:dyDescent="0.25">
      <c r="B25" s="9"/>
      <c r="C25" s="3"/>
      <c r="D25" s="24"/>
      <c r="E25" s="25"/>
      <c r="F25" s="24"/>
      <c r="G25" s="24"/>
      <c r="H25" s="3"/>
    </row>
    <row r="26" spans="2:8" x14ac:dyDescent="0.25">
      <c r="C26" s="27"/>
      <c r="H26" t="s">
        <v>36</v>
      </c>
    </row>
    <row r="27" spans="2:8" x14ac:dyDescent="0.25">
      <c r="D27" s="28"/>
    </row>
    <row r="28" spans="2:8" s="29" customFormat="1" x14ac:dyDescent="0.25">
      <c r="D28" s="30"/>
      <c r="E28" s="30"/>
      <c r="F28" s="30"/>
    </row>
  </sheetData>
  <mergeCells count="3">
    <mergeCell ref="B4:H4"/>
    <mergeCell ref="B2:H2"/>
    <mergeCell ref="B3:H3"/>
  </mergeCells>
  <pageMargins left="0.7" right="0.7" top="1" bottom="0.75" header="0.3" footer="0.3"/>
  <pageSetup scale="80" orientation="landscape" r:id="rId1"/>
  <headerFooter>
    <oddHeader>&amp;R&amp;"Arial,Regular"&amp;10Cape Light Compact JPE
D.P.U. 25-154
Exhibit 2, EES Calculation
October 31, 2025
Page &amp;P of &amp;N</oddHeader>
  </headerFooter>
  <colBreaks count="1" manualBreakCount="1">
    <brk id="1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4686-F103-4AF6-AC82-E2493C80F018}">
  <sheetPr codeName="Sheet33"/>
  <dimension ref="A1:AV50"/>
  <sheetViews>
    <sheetView showGridLines="0" zoomScale="90" zoomScaleNormal="90" workbookViewId="0"/>
  </sheetViews>
  <sheetFormatPr defaultColWidth="9.140625" defaultRowHeight="12.75" x14ac:dyDescent="0.2"/>
  <cols>
    <col min="1" max="1" width="5.5703125" style="12" customWidth="1"/>
    <col min="2" max="2" width="46.28515625" style="12" customWidth="1"/>
    <col min="3" max="10" width="15" style="12" customWidth="1"/>
    <col min="11" max="11" width="16.28515625" style="12" customWidth="1"/>
    <col min="12" max="12" width="18.42578125" style="12" customWidth="1"/>
    <col min="13" max="13" width="18.5703125" style="12" customWidth="1"/>
    <col min="14" max="14" width="17" style="12" customWidth="1"/>
    <col min="15" max="15" width="15.5703125" style="12" customWidth="1"/>
    <col min="16" max="16" width="15" style="12" customWidth="1"/>
    <col min="17" max="17" width="5.5703125" style="12" customWidth="1"/>
    <col min="18" max="18" width="46.28515625" style="12" customWidth="1"/>
    <col min="19" max="26" width="15" style="12" customWidth="1"/>
    <col min="27" max="27" width="16.28515625" style="12" customWidth="1"/>
    <col min="28" max="28" width="18.42578125" style="12" customWidth="1"/>
    <col min="29" max="29" width="18.5703125" style="12" customWidth="1"/>
    <col min="30" max="30" width="17" style="12" customWidth="1"/>
    <col min="31" max="31" width="15.5703125" style="12" customWidth="1"/>
    <col min="32" max="32" width="15" style="12" customWidth="1"/>
    <col min="33" max="33" width="5.5703125" style="12" customWidth="1"/>
    <col min="34" max="34" width="46.28515625" style="12" customWidth="1"/>
    <col min="35" max="42" width="15" style="12" customWidth="1"/>
    <col min="43" max="43" width="16.28515625" style="12" customWidth="1"/>
    <col min="44" max="44" width="18.42578125" style="12" customWidth="1"/>
    <col min="45" max="45" width="18.5703125" style="12" customWidth="1"/>
    <col min="46" max="46" width="17" style="12" customWidth="1"/>
    <col min="47" max="47" width="15.5703125" style="12" customWidth="1"/>
    <col min="48" max="48" width="15" style="12" customWidth="1"/>
    <col min="49" max="16384" width="9.140625" style="12"/>
  </cols>
  <sheetData>
    <row r="1" spans="2:24" x14ac:dyDescent="0.2">
      <c r="C1" s="31" t="s">
        <v>0</v>
      </c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</row>
    <row r="2" spans="2:24" x14ac:dyDescent="0.2">
      <c r="C2" s="31" t="s">
        <v>104</v>
      </c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</row>
    <row r="3" spans="2:24" x14ac:dyDescent="0.2">
      <c r="C3" s="31" t="s">
        <v>1</v>
      </c>
      <c r="D3" s="31"/>
      <c r="E3" s="31"/>
      <c r="F3" s="31"/>
      <c r="G3" s="31"/>
      <c r="H3" s="31"/>
      <c r="I3" s="31"/>
      <c r="J3" s="31"/>
      <c r="K3" s="32"/>
      <c r="L3" s="32"/>
      <c r="M3" s="32"/>
      <c r="N3" s="32"/>
    </row>
    <row r="4" spans="2:24" x14ac:dyDescent="0.2">
      <c r="C4" s="33"/>
      <c r="D4" s="33"/>
      <c r="E4" s="33"/>
      <c r="F4" s="33"/>
      <c r="G4" s="33"/>
      <c r="H4" s="33"/>
      <c r="I4" s="33"/>
      <c r="J4" s="33"/>
      <c r="K4" s="32"/>
      <c r="L4" s="32"/>
      <c r="M4" s="32"/>
      <c r="N4" s="32"/>
      <c r="R4" s="34"/>
      <c r="S4" s="34"/>
      <c r="T4" s="34"/>
      <c r="U4" s="34"/>
      <c r="V4" s="34"/>
      <c r="W4" s="34"/>
      <c r="X4" s="34"/>
    </row>
    <row r="5" spans="2:24" x14ac:dyDescent="0.2">
      <c r="C5" s="35"/>
      <c r="D5" s="36"/>
      <c r="E5" s="37"/>
      <c r="F5" s="38" t="s">
        <v>38</v>
      </c>
      <c r="G5" s="38"/>
      <c r="H5" s="37" t="s">
        <v>39</v>
      </c>
      <c r="I5" s="36"/>
      <c r="J5" s="37"/>
      <c r="K5" s="32"/>
      <c r="L5" s="32"/>
      <c r="M5" s="32"/>
      <c r="N5" s="32"/>
    </row>
    <row r="6" spans="2:24" x14ac:dyDescent="0.2">
      <c r="C6" s="39"/>
      <c r="D6" s="40" t="s">
        <v>40</v>
      </c>
      <c r="E6" s="39" t="s">
        <v>41</v>
      </c>
      <c r="F6" s="39" t="s">
        <v>42</v>
      </c>
      <c r="G6" s="41" t="s">
        <v>43</v>
      </c>
      <c r="H6" s="39" t="s">
        <v>44</v>
      </c>
      <c r="I6" s="40" t="s">
        <v>45</v>
      </c>
      <c r="J6" s="42" t="s">
        <v>46</v>
      </c>
      <c r="K6" s="32"/>
      <c r="L6" s="32"/>
      <c r="M6" s="32"/>
      <c r="N6" s="32"/>
      <c r="P6" s="43"/>
      <c r="Q6" s="43"/>
      <c r="R6" s="43"/>
    </row>
    <row r="7" spans="2:24" ht="15" x14ac:dyDescent="0.35">
      <c r="C7" s="44" t="s">
        <v>47</v>
      </c>
      <c r="D7" s="45" t="s">
        <v>48</v>
      </c>
      <c r="E7" s="44" t="s">
        <v>49</v>
      </c>
      <c r="F7" s="44" t="s">
        <v>49</v>
      </c>
      <c r="G7" s="46" t="s">
        <v>50</v>
      </c>
      <c r="H7" s="44" t="s">
        <v>51</v>
      </c>
      <c r="I7" s="45" t="s">
        <v>52</v>
      </c>
      <c r="J7" s="47" t="s">
        <v>53</v>
      </c>
      <c r="K7" s="32"/>
      <c r="L7" s="32"/>
      <c r="M7" s="32"/>
      <c r="N7" s="32"/>
      <c r="P7" s="43"/>
      <c r="Q7" s="43"/>
      <c r="R7" s="43"/>
    </row>
    <row r="8" spans="2:24" x14ac:dyDescent="0.2">
      <c r="C8" s="48" t="s">
        <v>8</v>
      </c>
      <c r="D8" s="49" t="s">
        <v>9</v>
      </c>
      <c r="E8" s="50" t="s">
        <v>10</v>
      </c>
      <c r="F8" s="51" t="s">
        <v>54</v>
      </c>
      <c r="G8" s="51" t="s">
        <v>55</v>
      </c>
      <c r="H8" s="50" t="s">
        <v>56</v>
      </c>
      <c r="I8" s="49" t="s">
        <v>57</v>
      </c>
      <c r="J8" s="50" t="s">
        <v>58</v>
      </c>
      <c r="K8" s="32"/>
      <c r="L8" s="32"/>
      <c r="M8" s="32"/>
      <c r="N8" s="32"/>
      <c r="P8" s="43"/>
      <c r="Q8" s="43"/>
      <c r="R8" s="43"/>
    </row>
    <row r="9" spans="2:24" x14ac:dyDescent="0.2">
      <c r="C9" s="35"/>
      <c r="D9" s="36" t="s">
        <v>59</v>
      </c>
      <c r="E9" s="37" t="s">
        <v>60</v>
      </c>
      <c r="F9" s="52" t="s">
        <v>61</v>
      </c>
      <c r="G9" s="52"/>
      <c r="H9" s="37" t="s">
        <v>62</v>
      </c>
      <c r="I9" s="36" t="s">
        <v>63</v>
      </c>
      <c r="J9" s="37"/>
      <c r="K9" s="32"/>
      <c r="L9" s="32"/>
      <c r="M9" s="32"/>
      <c r="N9" s="32"/>
      <c r="P9" s="43"/>
      <c r="Q9" s="43"/>
      <c r="R9" s="43"/>
    </row>
    <row r="10" spans="2:24" x14ac:dyDescent="0.2">
      <c r="C10" s="35">
        <f>Year2</f>
        <v>2026</v>
      </c>
      <c r="D10" s="53">
        <f>AV40</f>
        <v>44769.56611339884</v>
      </c>
      <c r="E10" s="54">
        <f>$AV$30</f>
        <v>-3062.3919864964614</v>
      </c>
      <c r="F10" s="55">
        <f>$AV$33+$AV$34+$AV$35</f>
        <v>-3574.8556452853522</v>
      </c>
      <c r="G10" s="55">
        <v>0</v>
      </c>
      <c r="H10" s="54">
        <f>$AE$44</f>
        <v>-4881.102160641577</v>
      </c>
      <c r="I10" s="53">
        <f>SUM($AV$43)</f>
        <v>19.747890722916559</v>
      </c>
      <c r="J10" s="56">
        <f>SUM(D10:I10)</f>
        <v>33270.964211698367</v>
      </c>
      <c r="K10" s="32"/>
      <c r="L10" s="32"/>
      <c r="M10" s="32"/>
      <c r="N10" s="32"/>
      <c r="O10" s="57"/>
      <c r="P10" s="58"/>
      <c r="Q10" s="59"/>
      <c r="R10" s="60"/>
    </row>
    <row r="11" spans="2:24" x14ac:dyDescent="0.2">
      <c r="D11" s="61"/>
      <c r="E11" s="61"/>
      <c r="F11" s="61"/>
      <c r="G11" s="61"/>
      <c r="H11" s="61"/>
      <c r="I11" s="62"/>
      <c r="J11" s="62"/>
      <c r="K11" s="32"/>
      <c r="L11" s="32"/>
      <c r="M11" s="32"/>
      <c r="N11" s="32"/>
    </row>
    <row r="12" spans="2:24" x14ac:dyDescent="0.2">
      <c r="K12" s="32"/>
      <c r="L12" s="32"/>
      <c r="M12" s="32"/>
      <c r="N12" s="32"/>
    </row>
    <row r="13" spans="2:24" x14ac:dyDescent="0.2">
      <c r="C13" s="35" t="s">
        <v>64</v>
      </c>
      <c r="D13" s="12" t="s">
        <v>65</v>
      </c>
      <c r="F13" s="63"/>
      <c r="G13" s="63"/>
      <c r="H13" s="63"/>
      <c r="K13" s="32"/>
      <c r="L13" s="32"/>
      <c r="M13" s="32"/>
      <c r="N13" s="32"/>
    </row>
    <row r="14" spans="2:24" ht="12.75" customHeight="1" x14ac:dyDescent="0.2">
      <c r="C14" s="35" t="s">
        <v>66</v>
      </c>
      <c r="D14" s="12" t="s">
        <v>105</v>
      </c>
      <c r="E14" s="64"/>
      <c r="F14" s="64"/>
      <c r="G14" s="64"/>
      <c r="H14" s="64"/>
      <c r="I14" s="64"/>
      <c r="J14" s="64"/>
      <c r="K14" s="64"/>
      <c r="L14" s="64"/>
      <c r="M14" s="64"/>
      <c r="N14" s="63"/>
      <c r="O14" s="43"/>
    </row>
    <row r="15" spans="2:24" x14ac:dyDescent="0.2">
      <c r="C15" s="35" t="s">
        <v>67</v>
      </c>
      <c r="D15" s="12" t="s">
        <v>106</v>
      </c>
    </row>
    <row r="16" spans="2:24" x14ac:dyDescent="0.2">
      <c r="B16" s="43"/>
      <c r="C16" s="35" t="s">
        <v>68</v>
      </c>
      <c r="D16" s="12" t="s">
        <v>107</v>
      </c>
      <c r="K16" s="43"/>
    </row>
    <row r="17" spans="1:48" x14ac:dyDescent="0.2">
      <c r="B17" s="43"/>
      <c r="C17" s="35" t="s">
        <v>69</v>
      </c>
      <c r="D17" s="65" t="s">
        <v>108</v>
      </c>
      <c r="K17" s="43"/>
    </row>
    <row r="18" spans="1:48" x14ac:dyDescent="0.2">
      <c r="B18" s="66"/>
      <c r="C18" s="35" t="s">
        <v>70</v>
      </c>
      <c r="D18" s="12" t="s">
        <v>109</v>
      </c>
      <c r="J18" s="12" t="s">
        <v>36</v>
      </c>
    </row>
    <row r="19" spans="1:48" x14ac:dyDescent="0.2">
      <c r="C19" s="35" t="s">
        <v>71</v>
      </c>
      <c r="D19" s="12" t="s">
        <v>110</v>
      </c>
      <c r="M19" s="12" t="s">
        <v>36</v>
      </c>
      <c r="AK19" s="12" t="s">
        <v>36</v>
      </c>
    </row>
    <row r="20" spans="1:48" x14ac:dyDescent="0.2">
      <c r="C20" s="35" t="s">
        <v>72</v>
      </c>
      <c r="D20" s="12" t="s">
        <v>73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AE20" s="68"/>
    </row>
    <row r="21" spans="1:48" x14ac:dyDescent="0.2">
      <c r="L21" s="69"/>
      <c r="AG21" s="43"/>
      <c r="AV21" s="12" t="s">
        <v>36</v>
      </c>
    </row>
    <row r="23" spans="1:48" x14ac:dyDescent="0.2">
      <c r="A23" s="31" t="s">
        <v>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 t="s">
        <v>0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 t="s">
        <v>0</v>
      </c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x14ac:dyDescent="0.2">
      <c r="A24" s="31" t="str">
        <f>Year1-1&amp;" Residential Monthly EES Deferral"</f>
        <v>2024 Residential Monthly EES Deferral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 t="str">
        <f>Year1&amp;" Residential Monthly EES Deferral"</f>
        <v>2025 Residential Monthly EES Deferral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 t="str">
        <f>Year2&amp;" Residential Monthly EES Deferral"</f>
        <v>2026 Residential Monthly EES Deferral</v>
      </c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x14ac:dyDescent="0.2">
      <c r="A25" s="31" t="s">
        <v>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 t="s">
        <v>1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 t="s">
        <v>1</v>
      </c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x14ac:dyDescent="0.2">
      <c r="A26" s="33"/>
      <c r="B26" s="32"/>
      <c r="C26" s="48" t="s">
        <v>8</v>
      </c>
      <c r="D26" s="70" t="s">
        <v>9</v>
      </c>
      <c r="E26" s="48" t="s">
        <v>10</v>
      </c>
      <c r="F26" s="50" t="s">
        <v>54</v>
      </c>
      <c r="G26" s="51" t="s">
        <v>55</v>
      </c>
      <c r="H26" s="50" t="s">
        <v>56</v>
      </c>
      <c r="I26" s="50" t="s">
        <v>57</v>
      </c>
      <c r="J26" s="50" t="s">
        <v>58</v>
      </c>
      <c r="K26" s="50" t="s">
        <v>74</v>
      </c>
      <c r="L26" s="71" t="s">
        <v>75</v>
      </c>
      <c r="M26" s="71" t="s">
        <v>76</v>
      </c>
      <c r="N26" s="71" t="s">
        <v>77</v>
      </c>
      <c r="O26" s="71" t="s">
        <v>78</v>
      </c>
      <c r="P26" s="71" t="s">
        <v>79</v>
      </c>
      <c r="Q26" s="33"/>
      <c r="R26" s="32"/>
      <c r="S26" s="48" t="s">
        <v>8</v>
      </c>
      <c r="T26" s="70" t="s">
        <v>9</v>
      </c>
      <c r="U26" s="48" t="s">
        <v>10</v>
      </c>
      <c r="V26" s="50" t="s">
        <v>54</v>
      </c>
      <c r="W26" s="51" t="s">
        <v>55</v>
      </c>
      <c r="X26" s="50" t="s">
        <v>56</v>
      </c>
      <c r="Y26" s="50" t="s">
        <v>57</v>
      </c>
      <c r="Z26" s="50" t="s">
        <v>58</v>
      </c>
      <c r="AA26" s="50" t="s">
        <v>74</v>
      </c>
      <c r="AB26" s="71" t="s">
        <v>75</v>
      </c>
      <c r="AC26" s="71" t="s">
        <v>76</v>
      </c>
      <c r="AD26" s="71" t="s">
        <v>77</v>
      </c>
      <c r="AE26" s="71" t="s">
        <v>78</v>
      </c>
      <c r="AF26" s="71" t="s">
        <v>79</v>
      </c>
      <c r="AG26" s="33"/>
      <c r="AH26" s="32"/>
      <c r="AI26" s="48" t="s">
        <v>8</v>
      </c>
      <c r="AJ26" s="70" t="s">
        <v>9</v>
      </c>
      <c r="AK26" s="48" t="s">
        <v>10</v>
      </c>
      <c r="AL26" s="50" t="s">
        <v>54</v>
      </c>
      <c r="AM26" s="51" t="s">
        <v>55</v>
      </c>
      <c r="AN26" s="50" t="s">
        <v>56</v>
      </c>
      <c r="AO26" s="50" t="s">
        <v>57</v>
      </c>
      <c r="AP26" s="50" t="s">
        <v>58</v>
      </c>
      <c r="AQ26" s="50" t="s">
        <v>74</v>
      </c>
      <c r="AR26" s="71" t="s">
        <v>75</v>
      </c>
      <c r="AS26" s="71" t="s">
        <v>76</v>
      </c>
      <c r="AT26" s="71" t="s">
        <v>77</v>
      </c>
      <c r="AU26" s="71" t="s">
        <v>78</v>
      </c>
      <c r="AV26" s="71" t="s">
        <v>79</v>
      </c>
    </row>
    <row r="27" spans="1:48" x14ac:dyDescent="0.2">
      <c r="A27" s="35"/>
      <c r="C27" s="48" t="s">
        <v>80</v>
      </c>
      <c r="D27" s="48" t="s">
        <v>80</v>
      </c>
      <c r="E27" s="48" t="s">
        <v>80</v>
      </c>
      <c r="F27" s="48" t="s">
        <v>80</v>
      </c>
      <c r="G27" s="48" t="s">
        <v>80</v>
      </c>
      <c r="H27" s="48" t="s">
        <v>80</v>
      </c>
      <c r="I27" s="48" t="s">
        <v>80</v>
      </c>
      <c r="J27" s="48" t="s">
        <v>80</v>
      </c>
      <c r="K27" s="48" t="s">
        <v>80</v>
      </c>
      <c r="L27" s="48" t="s">
        <v>80</v>
      </c>
      <c r="M27" s="48" t="s">
        <v>80</v>
      </c>
      <c r="N27" s="48" t="s">
        <v>80</v>
      </c>
      <c r="O27" s="48" t="s">
        <v>80</v>
      </c>
      <c r="Q27" s="35"/>
      <c r="S27" s="48" t="str">
        <f>O27</f>
        <v>Actual</v>
      </c>
      <c r="T27" s="48" t="s">
        <v>80</v>
      </c>
      <c r="U27" s="48" t="s">
        <v>80</v>
      </c>
      <c r="V27" s="48" t="s">
        <v>80</v>
      </c>
      <c r="W27" s="48" t="s">
        <v>80</v>
      </c>
      <c r="X27" s="48" t="s">
        <v>80</v>
      </c>
      <c r="Y27" s="48" t="s">
        <v>80</v>
      </c>
      <c r="Z27" s="48" t="s">
        <v>80</v>
      </c>
      <c r="AA27" s="48" t="s">
        <v>80</v>
      </c>
      <c r="AB27" s="48" t="s">
        <v>80</v>
      </c>
      <c r="AC27" s="48" t="s">
        <v>102</v>
      </c>
      <c r="AD27" s="48" t="s">
        <v>102</v>
      </c>
      <c r="AE27" s="48" t="s">
        <v>102</v>
      </c>
      <c r="AG27" s="35"/>
      <c r="AI27" s="48" t="str">
        <f>AE27</f>
        <v>Planned</v>
      </c>
      <c r="AJ27" s="48" t="s">
        <v>102</v>
      </c>
      <c r="AK27" s="48" t="s">
        <v>102</v>
      </c>
      <c r="AL27" s="48" t="s">
        <v>102</v>
      </c>
      <c r="AM27" s="48" t="s">
        <v>102</v>
      </c>
      <c r="AN27" s="48" t="s">
        <v>102</v>
      </c>
      <c r="AO27" s="48" t="s">
        <v>102</v>
      </c>
      <c r="AP27" s="48" t="s">
        <v>102</v>
      </c>
      <c r="AQ27" s="48" t="s">
        <v>102</v>
      </c>
      <c r="AR27" s="48" t="s">
        <v>102</v>
      </c>
      <c r="AS27" s="48" t="s">
        <v>102</v>
      </c>
      <c r="AT27" s="48" t="s">
        <v>102</v>
      </c>
      <c r="AU27" s="48" t="s">
        <v>102</v>
      </c>
    </row>
    <row r="28" spans="1:48" ht="15" x14ac:dyDescent="0.35">
      <c r="A28" s="72" t="s">
        <v>2</v>
      </c>
      <c r="B28" s="73" t="s">
        <v>81</v>
      </c>
      <c r="C28" s="72">
        <f>D28-31</f>
        <v>45261</v>
      </c>
      <c r="D28" s="72">
        <f>DATE(Year1-1,1,1)</f>
        <v>45292</v>
      </c>
      <c r="E28" s="72">
        <f>D28+31</f>
        <v>45323</v>
      </c>
      <c r="F28" s="72">
        <f>E28+29</f>
        <v>45352</v>
      </c>
      <c r="G28" s="72">
        <f>F28+31</f>
        <v>45383</v>
      </c>
      <c r="H28" s="72">
        <f>G28+30</f>
        <v>45413</v>
      </c>
      <c r="I28" s="72">
        <f>H28+31</f>
        <v>45444</v>
      </c>
      <c r="J28" s="72">
        <f>I28+30</f>
        <v>45474</v>
      </c>
      <c r="K28" s="72">
        <f>J28+31</f>
        <v>45505</v>
      </c>
      <c r="L28" s="72">
        <f>K28+31</f>
        <v>45536</v>
      </c>
      <c r="M28" s="72">
        <f>L28+30</f>
        <v>45566</v>
      </c>
      <c r="N28" s="72">
        <f>M28+31</f>
        <v>45597</v>
      </c>
      <c r="O28" s="72">
        <f>N28+30</f>
        <v>45627</v>
      </c>
      <c r="P28" s="72" t="s">
        <v>46</v>
      </c>
      <c r="Q28" s="72" t="s">
        <v>2</v>
      </c>
      <c r="R28" s="73" t="s">
        <v>81</v>
      </c>
      <c r="S28" s="72">
        <f>T28-31</f>
        <v>45627</v>
      </c>
      <c r="T28" s="72">
        <f>DATE(Year1,1,1)</f>
        <v>45658</v>
      </c>
      <c r="U28" s="72">
        <f>T28+31</f>
        <v>45689</v>
      </c>
      <c r="V28" s="72">
        <f>U28+28</f>
        <v>45717</v>
      </c>
      <c r="W28" s="72">
        <f>V28+31</f>
        <v>45748</v>
      </c>
      <c r="X28" s="72">
        <f>W28+30</f>
        <v>45778</v>
      </c>
      <c r="Y28" s="72">
        <f>X28+31</f>
        <v>45809</v>
      </c>
      <c r="Z28" s="72">
        <f>Y28+30</f>
        <v>45839</v>
      </c>
      <c r="AA28" s="72">
        <f>Z28+31</f>
        <v>45870</v>
      </c>
      <c r="AB28" s="72">
        <f>AA28+31</f>
        <v>45901</v>
      </c>
      <c r="AC28" s="72">
        <f>AB28+30</f>
        <v>45931</v>
      </c>
      <c r="AD28" s="72">
        <f>AC28+31</f>
        <v>45962</v>
      </c>
      <c r="AE28" s="72">
        <f>AD28+30</f>
        <v>45992</v>
      </c>
      <c r="AF28" s="72" t="s">
        <v>46</v>
      </c>
      <c r="AG28" s="72" t="s">
        <v>2</v>
      </c>
      <c r="AH28" s="73" t="s">
        <v>81</v>
      </c>
      <c r="AI28" s="72">
        <f>AJ28-31</f>
        <v>45992</v>
      </c>
      <c r="AJ28" s="72">
        <f>DATE(Year2,1,1)</f>
        <v>46023</v>
      </c>
      <c r="AK28" s="72">
        <f>AJ28+31</f>
        <v>46054</v>
      </c>
      <c r="AL28" s="72">
        <f>AK28+29</f>
        <v>46083</v>
      </c>
      <c r="AM28" s="72">
        <f>AL28+31</f>
        <v>46114</v>
      </c>
      <c r="AN28" s="72">
        <f>AM28+30</f>
        <v>46144</v>
      </c>
      <c r="AO28" s="72">
        <f>AN28+31</f>
        <v>46175</v>
      </c>
      <c r="AP28" s="72">
        <f>AO28+30</f>
        <v>46205</v>
      </c>
      <c r="AQ28" s="72">
        <f>AP28+31</f>
        <v>46236</v>
      </c>
      <c r="AR28" s="72">
        <f>AQ28+31</f>
        <v>46267</v>
      </c>
      <c r="AS28" s="72">
        <f>AR28+30</f>
        <v>46297</v>
      </c>
      <c r="AT28" s="72">
        <f>AS28+31</f>
        <v>46328</v>
      </c>
      <c r="AU28" s="72">
        <f>AT28+30</f>
        <v>46358</v>
      </c>
      <c r="AV28" s="72" t="s">
        <v>46</v>
      </c>
    </row>
    <row r="29" spans="1:48" x14ac:dyDescent="0.2">
      <c r="A29" s="35"/>
      <c r="Q29" s="35"/>
      <c r="AG29" s="35"/>
    </row>
    <row r="30" spans="1:48" x14ac:dyDescent="0.2">
      <c r="A30" s="35">
        <v>1</v>
      </c>
      <c r="B30" s="12" t="s">
        <v>82</v>
      </c>
      <c r="C30" s="74"/>
      <c r="D30" s="75">
        <v>0</v>
      </c>
      <c r="E30" s="75">
        <v>-223.2781038575539</v>
      </c>
      <c r="F30" s="75">
        <v>-223.2781038575539</v>
      </c>
      <c r="G30" s="75">
        <v>-223.2781038575539</v>
      </c>
      <c r="H30" s="75">
        <v>-223.2781038575539</v>
      </c>
      <c r="I30" s="75">
        <v>-223.2781038575539</v>
      </c>
      <c r="J30" s="75">
        <v>-223.2781038575539</v>
      </c>
      <c r="K30" s="75">
        <v>-223.2781038575539</v>
      </c>
      <c r="L30" s="75">
        <v>-446.5562077151078</v>
      </c>
      <c r="M30" s="75">
        <v>-111.63905192877695</v>
      </c>
      <c r="N30" s="75">
        <v>-223.2781038575539</v>
      </c>
      <c r="O30" s="75">
        <v>-369.35946263833938</v>
      </c>
      <c r="P30" s="75">
        <f t="shared" ref="P30:P36" si="0">SUM(D30:O30)</f>
        <v>-2713.7795531426555</v>
      </c>
      <c r="Q30" s="35">
        <v>1</v>
      </c>
      <c r="R30" s="12" t="s">
        <v>82</v>
      </c>
      <c r="S30" s="74"/>
      <c r="T30" s="75">
        <v>0</v>
      </c>
      <c r="U30" s="75">
        <v>-223.88463084000566</v>
      </c>
      <c r="V30" s="75">
        <v>-223.88463084000566</v>
      </c>
      <c r="W30" s="75">
        <v>-223.88463084000566</v>
      </c>
      <c r="X30" s="75">
        <v>-223.88463084000566</v>
      </c>
      <c r="Y30" s="75">
        <v>-223.88463084000566</v>
      </c>
      <c r="Z30" s="75">
        <v>-223.88463084000566</v>
      </c>
      <c r="AA30" s="75">
        <v>-238.55108577559409</v>
      </c>
      <c r="AB30" s="75">
        <v>-238.55108577559409</v>
      </c>
      <c r="AC30" s="75">
        <v>-238.55193298387977</v>
      </c>
      <c r="AD30" s="75">
        <v>-238.55193298387977</v>
      </c>
      <c r="AE30" s="75">
        <v>-477.10386596775953</v>
      </c>
      <c r="AF30" s="75">
        <f t="shared" ref="AF30:AF36" si="1">SUM(T30:AE30)</f>
        <v>-2774.6176885267414</v>
      </c>
      <c r="AG30" s="35">
        <v>1</v>
      </c>
      <c r="AH30" s="12" t="s">
        <v>82</v>
      </c>
      <c r="AI30" s="74"/>
      <c r="AJ30" s="75">
        <v>0</v>
      </c>
      <c r="AK30" s="75">
        <v>-255.1993322080385</v>
      </c>
      <c r="AL30" s="75">
        <v>-255.1993322080385</v>
      </c>
      <c r="AM30" s="75">
        <v>-255.1993322080385</v>
      </c>
      <c r="AN30" s="75">
        <v>-255.1993322080385</v>
      </c>
      <c r="AO30" s="75">
        <v>-255.1993322080385</v>
      </c>
      <c r="AP30" s="75">
        <v>-255.1993322080385</v>
      </c>
      <c r="AQ30" s="75">
        <v>-255.1993322080385</v>
      </c>
      <c r="AR30" s="75">
        <v>-255.1993322080385</v>
      </c>
      <c r="AS30" s="75">
        <v>-255.1993322080385</v>
      </c>
      <c r="AT30" s="75">
        <v>-255.1993322080385</v>
      </c>
      <c r="AU30" s="75">
        <v>-510.398664416077</v>
      </c>
      <c r="AV30" s="75">
        <f t="shared" ref="AV30:AV36" si="2">SUM(AJ30:AU30)</f>
        <v>-3062.3919864964614</v>
      </c>
    </row>
    <row r="31" spans="1:48" x14ac:dyDescent="0.2">
      <c r="A31" s="35">
        <v>2</v>
      </c>
      <c r="B31" s="12" t="s">
        <v>83</v>
      </c>
      <c r="C31" s="74"/>
      <c r="D31" s="75">
        <v>0</v>
      </c>
      <c r="E31" s="75">
        <v>-2010.6804898487924</v>
      </c>
      <c r="F31" s="75">
        <v>-2010.6804898487924</v>
      </c>
      <c r="G31" s="75">
        <v>-2010.6804898487924</v>
      </c>
      <c r="H31" s="75">
        <v>-2010.6804898487924</v>
      </c>
      <c r="I31" s="75">
        <v>-2010.6804898487924</v>
      </c>
      <c r="J31" s="75">
        <v>-2010.6804898487924</v>
      </c>
      <c r="P31" s="75">
        <f t="shared" si="0"/>
        <v>-12064.082939092754</v>
      </c>
      <c r="Q31" s="35">
        <v>2</v>
      </c>
      <c r="R31" s="12" t="s">
        <v>84</v>
      </c>
      <c r="S31" s="74"/>
      <c r="T31" s="75">
        <v>0</v>
      </c>
      <c r="U31" s="75">
        <v>-4173.0249789467189</v>
      </c>
      <c r="V31" s="75">
        <v>-4173.0249789467189</v>
      </c>
      <c r="W31" s="75">
        <v>-4173.0249789467189</v>
      </c>
      <c r="X31" s="75">
        <v>-4173.0249789467189</v>
      </c>
      <c r="Y31" s="75">
        <v>-4173.0249789467189</v>
      </c>
      <c r="Z31" s="75">
        <v>-4173.0249789467189</v>
      </c>
      <c r="AA31" s="75"/>
      <c r="AB31" s="75"/>
      <c r="AC31" s="75"/>
      <c r="AD31" s="75"/>
      <c r="AE31" s="75"/>
      <c r="AF31" s="75">
        <f t="shared" si="1"/>
        <v>-25038.149873680315</v>
      </c>
      <c r="AG31" s="35">
        <v>2</v>
      </c>
      <c r="AH31" s="12" t="s">
        <v>85</v>
      </c>
      <c r="AI31" s="74"/>
      <c r="AJ31" s="75">
        <v>0</v>
      </c>
      <c r="AK31" s="75">
        <v>-2772.5803509748644</v>
      </c>
      <c r="AL31" s="75">
        <v>-2772.5803509748644</v>
      </c>
      <c r="AM31" s="75">
        <v>-2772.5803509748644</v>
      </c>
      <c r="AN31" s="75">
        <v>-2772.5803509748644</v>
      </c>
      <c r="AO31" s="75">
        <v>-2772.5803509748644</v>
      </c>
      <c r="AP31" s="75">
        <v>-2772.5803509748644</v>
      </c>
      <c r="AQ31" s="75">
        <v>-2772.5803509748644</v>
      </c>
      <c r="AR31" s="75">
        <v>-2772.5803509748644</v>
      </c>
      <c r="AS31" s="75">
        <v>-2772.5803509748644</v>
      </c>
      <c r="AT31" s="75">
        <v>-2772.5803509748644</v>
      </c>
      <c r="AU31" s="75">
        <v>-5545.1607019497287</v>
      </c>
      <c r="AV31" s="75">
        <f t="shared" si="2"/>
        <v>-33270.964211698381</v>
      </c>
    </row>
    <row r="32" spans="1:48" x14ac:dyDescent="0.2">
      <c r="A32" s="35">
        <v>3</v>
      </c>
      <c r="B32" s="12" t="s">
        <v>86</v>
      </c>
      <c r="C32" s="74"/>
      <c r="D32" s="75"/>
      <c r="E32" s="75"/>
      <c r="F32" s="75"/>
      <c r="G32" s="75"/>
      <c r="H32" s="75"/>
      <c r="I32" s="75"/>
      <c r="J32" s="75"/>
      <c r="K32" s="75">
        <v>-1301.3389543019364</v>
      </c>
      <c r="L32" s="75">
        <v>-4973.4129246165294</v>
      </c>
      <c r="M32" s="75">
        <v>-1274.6746579226578</v>
      </c>
      <c r="N32" s="75">
        <v>-2549.3493158453157</v>
      </c>
      <c r="O32" s="75">
        <v>-4603.8207247860646</v>
      </c>
      <c r="P32" s="75">
        <f t="shared" si="0"/>
        <v>-14702.596577472503</v>
      </c>
      <c r="Q32" s="35">
        <v>3</v>
      </c>
      <c r="R32" s="12" t="s">
        <v>87</v>
      </c>
      <c r="S32" s="74"/>
      <c r="T32" s="75"/>
      <c r="U32" s="75"/>
      <c r="V32" s="75"/>
      <c r="W32" s="75"/>
      <c r="X32" s="75"/>
      <c r="Y32" s="75"/>
      <c r="Z32" s="75"/>
      <c r="AA32" s="75">
        <v>-2447.3042106880193</v>
      </c>
      <c r="AB32" s="75">
        <v>-2447.3042106880193</v>
      </c>
      <c r="AC32" s="75">
        <v>-2447.3043066263472</v>
      </c>
      <c r="AD32" s="75">
        <v>-2447.3043066263472</v>
      </c>
      <c r="AE32" s="75">
        <v>-4894.6086132526943</v>
      </c>
      <c r="AF32" s="75">
        <f t="shared" si="1"/>
        <v>-14683.825647881427</v>
      </c>
      <c r="AG32" s="35"/>
      <c r="AI32" s="74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>
        <f t="shared" si="2"/>
        <v>0</v>
      </c>
    </row>
    <row r="33" spans="1:48" x14ac:dyDescent="0.2">
      <c r="A33" s="35">
        <v>4</v>
      </c>
      <c r="B33" s="12" t="s">
        <v>88</v>
      </c>
      <c r="C33" s="74"/>
      <c r="D33" s="75">
        <v>-41.851383212660899</v>
      </c>
      <c r="E33" s="75">
        <v>-68.943921008502457</v>
      </c>
      <c r="F33" s="75">
        <v>-74.500880370470242</v>
      </c>
      <c r="G33" s="75">
        <v>-84.316920186262436</v>
      </c>
      <c r="H33" s="75">
        <v>-64.536896011104062</v>
      </c>
      <c r="I33" s="75">
        <v>-106.30785771516882</v>
      </c>
      <c r="J33" s="75">
        <v>-135.2083976090122</v>
      </c>
      <c r="K33" s="75">
        <v>-145.13406049721303</v>
      </c>
      <c r="L33" s="75">
        <v>-128.58213190060118</v>
      </c>
      <c r="M33" s="75">
        <v>-133.75864489488575</v>
      </c>
      <c r="N33" s="75">
        <v>-119.14710774903443</v>
      </c>
      <c r="O33" s="75">
        <v>-207.53837166117179</v>
      </c>
      <c r="P33" s="75">
        <f t="shared" si="0"/>
        <v>-1309.8265728160873</v>
      </c>
      <c r="Q33" s="35">
        <v>4</v>
      </c>
      <c r="R33" s="12" t="s">
        <v>88</v>
      </c>
      <c r="S33" s="74"/>
      <c r="T33" s="75">
        <v>-87.58090041413449</v>
      </c>
      <c r="U33" s="75">
        <v>-131.34652847005461</v>
      </c>
      <c r="V33" s="75">
        <v>-127.93200148371345</v>
      </c>
      <c r="W33" s="75">
        <v>-122.20913293697672</v>
      </c>
      <c r="X33" s="75">
        <v>-130.00988469058512</v>
      </c>
      <c r="Y33" s="75">
        <v>-110.11285686109754</v>
      </c>
      <c r="Z33" s="75">
        <v>-74.458508547403582</v>
      </c>
      <c r="AA33" s="75">
        <v>-76.696429456215526</v>
      </c>
      <c r="AB33" s="75">
        <v>-72.358472177221216</v>
      </c>
      <c r="AC33" s="75">
        <v>-61.139435412115098</v>
      </c>
      <c r="AD33" s="75">
        <v>-61.139435412115098</v>
      </c>
      <c r="AE33" s="75">
        <v>-61.139435412115098</v>
      </c>
      <c r="AF33" s="75">
        <f t="shared" si="1"/>
        <v>-1116.1230212737473</v>
      </c>
      <c r="AG33" s="35">
        <v>3</v>
      </c>
      <c r="AH33" s="12" t="s">
        <v>88</v>
      </c>
      <c r="AI33" s="74"/>
      <c r="AJ33" s="75">
        <v>-55.602746169008121</v>
      </c>
      <c r="AK33" s="75">
        <v>-55.602746169008121</v>
      </c>
      <c r="AL33" s="75">
        <v>-55.602746169008121</v>
      </c>
      <c r="AM33" s="75">
        <v>-55.602746169008121</v>
      </c>
      <c r="AN33" s="75">
        <v>-55.602746169008121</v>
      </c>
      <c r="AO33" s="75">
        <v>-55.602746169008121</v>
      </c>
      <c r="AP33" s="75">
        <v>-55.602746169008121</v>
      </c>
      <c r="AQ33" s="75">
        <v>-55.602746169008121</v>
      </c>
      <c r="AR33" s="75">
        <v>-55.602746169008121</v>
      </c>
      <c r="AS33" s="75">
        <v>-55.602746169008121</v>
      </c>
      <c r="AT33" s="75">
        <v>-55.602746169008121</v>
      </c>
      <c r="AU33" s="75">
        <v>-55.602746169008121</v>
      </c>
      <c r="AV33" s="75">
        <f t="shared" si="2"/>
        <v>-667.23295402809742</v>
      </c>
    </row>
    <row r="34" spans="1:48" x14ac:dyDescent="0.2">
      <c r="A34" s="35">
        <v>5</v>
      </c>
      <c r="B34" s="12" t="s">
        <v>89</v>
      </c>
      <c r="C34" s="74"/>
      <c r="D34" s="75">
        <v>-901.7662307737329</v>
      </c>
      <c r="E34" s="75">
        <v>0</v>
      </c>
      <c r="F34" s="75">
        <v>0</v>
      </c>
      <c r="G34" s="75">
        <v>-1147.6822497737298</v>
      </c>
      <c r="H34" s="75">
        <v>0</v>
      </c>
      <c r="I34" s="75">
        <v>-1644.7534289689904</v>
      </c>
      <c r="J34" s="75">
        <v>0</v>
      </c>
      <c r="K34" s="75">
        <v>0</v>
      </c>
      <c r="L34" s="75">
        <v>0</v>
      </c>
      <c r="M34" s="75">
        <v>0</v>
      </c>
      <c r="N34" s="75">
        <v>-1363.7102840274076</v>
      </c>
      <c r="O34" s="75">
        <v>0</v>
      </c>
      <c r="P34" s="75">
        <f t="shared" si="0"/>
        <v>-5057.9121935438607</v>
      </c>
      <c r="Q34" s="35">
        <v>5</v>
      </c>
      <c r="R34" s="12" t="s">
        <v>89</v>
      </c>
      <c r="S34" s="74"/>
      <c r="T34" s="75">
        <v>0</v>
      </c>
      <c r="U34" s="75">
        <v>-1538.44907242</v>
      </c>
      <c r="V34" s="75">
        <v>-1341.0280377399999</v>
      </c>
      <c r="W34" s="75">
        <v>0</v>
      </c>
      <c r="X34" s="75">
        <v>-1054.9472704300001</v>
      </c>
      <c r="Y34" s="75">
        <v>0</v>
      </c>
      <c r="Z34" s="75">
        <v>0</v>
      </c>
      <c r="AA34" s="75">
        <v>0</v>
      </c>
      <c r="AB34" s="75">
        <v>0</v>
      </c>
      <c r="AC34" s="75">
        <v>-1831.91218</v>
      </c>
      <c r="AD34" s="75">
        <v>0</v>
      </c>
      <c r="AE34" s="75">
        <v>0</v>
      </c>
      <c r="AF34" s="75">
        <f t="shared" si="1"/>
        <v>-5766.3365605899999</v>
      </c>
      <c r="AG34" s="35">
        <v>4</v>
      </c>
      <c r="AH34" s="12" t="s">
        <v>89</v>
      </c>
      <c r="AI34" s="74"/>
      <c r="AJ34" s="75">
        <v>0</v>
      </c>
      <c r="AK34" s="75">
        <v>0</v>
      </c>
      <c r="AL34" s="75">
        <v>-725.79398531431366</v>
      </c>
      <c r="AM34" s="75">
        <v>0</v>
      </c>
      <c r="AN34" s="75">
        <v>0</v>
      </c>
      <c r="AO34" s="75">
        <v>-725.79398531431366</v>
      </c>
      <c r="AP34" s="75">
        <v>0</v>
      </c>
      <c r="AQ34" s="75">
        <v>0</v>
      </c>
      <c r="AR34" s="75">
        <v>-725.79398531431366</v>
      </c>
      <c r="AS34" s="75">
        <v>0</v>
      </c>
      <c r="AT34" s="75">
        <v>0</v>
      </c>
      <c r="AU34" s="75">
        <v>-725.79398531431366</v>
      </c>
      <c r="AV34" s="75">
        <f t="shared" si="2"/>
        <v>-2903.1759412572546</v>
      </c>
    </row>
    <row r="35" spans="1:48" ht="15" x14ac:dyDescent="0.35">
      <c r="A35" s="35">
        <v>6</v>
      </c>
      <c r="B35" s="12" t="s">
        <v>90</v>
      </c>
      <c r="C35" s="74"/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-0.63</v>
      </c>
      <c r="M35" s="76">
        <v>0</v>
      </c>
      <c r="N35" s="76">
        <v>0</v>
      </c>
      <c r="O35" s="76">
        <v>-0.39900000000000002</v>
      </c>
      <c r="P35" s="76">
        <f t="shared" si="0"/>
        <v>-1.0289999999999999</v>
      </c>
      <c r="Q35" s="35">
        <v>6</v>
      </c>
      <c r="R35" s="12" t="s">
        <v>90</v>
      </c>
      <c r="S35" s="74"/>
      <c r="T35" s="76">
        <v>0</v>
      </c>
      <c r="U35" s="76">
        <v>0</v>
      </c>
      <c r="V35" s="76">
        <v>0</v>
      </c>
      <c r="W35" s="76">
        <v>-0.63600000000000001</v>
      </c>
      <c r="X35" s="76">
        <v>0</v>
      </c>
      <c r="Y35" s="76">
        <v>-0.39</v>
      </c>
      <c r="Z35" s="76">
        <v>0</v>
      </c>
      <c r="AA35" s="76">
        <v>-0.64600000000000002</v>
      </c>
      <c r="AB35" s="76">
        <v>0</v>
      </c>
      <c r="AC35" s="76">
        <v>0</v>
      </c>
      <c r="AD35" s="76">
        <v>0</v>
      </c>
      <c r="AE35" s="76">
        <v>-1.1116874999999999</v>
      </c>
      <c r="AF35" s="76">
        <f t="shared" si="1"/>
        <v>-2.7836875000000001</v>
      </c>
      <c r="AG35" s="35">
        <v>5</v>
      </c>
      <c r="AH35" s="12" t="s">
        <v>90</v>
      </c>
      <c r="AI35" s="74"/>
      <c r="AJ35" s="76">
        <v>0</v>
      </c>
      <c r="AK35" s="76">
        <v>0</v>
      </c>
      <c r="AL35" s="76">
        <v>-1.1116874999999999</v>
      </c>
      <c r="AM35" s="76">
        <v>0</v>
      </c>
      <c r="AN35" s="76">
        <v>0</v>
      </c>
      <c r="AO35" s="76">
        <v>-1.1116874999999999</v>
      </c>
      <c r="AP35" s="76">
        <v>0</v>
      </c>
      <c r="AQ35" s="76">
        <v>0</v>
      </c>
      <c r="AR35" s="76">
        <v>-1.1116874999999999</v>
      </c>
      <c r="AS35" s="76">
        <v>0</v>
      </c>
      <c r="AT35" s="76">
        <v>0</v>
      </c>
      <c r="AU35" s="76">
        <v>-1.1116874999999999</v>
      </c>
      <c r="AV35" s="76">
        <f>SUM(AJ35:AU35)</f>
        <v>-4.4467499999999998</v>
      </c>
    </row>
    <row r="36" spans="1:48" x14ac:dyDescent="0.2">
      <c r="A36" s="35">
        <v>7</v>
      </c>
      <c r="B36" s="12" t="s">
        <v>91</v>
      </c>
      <c r="C36" s="74"/>
      <c r="D36" s="75">
        <f t="shared" ref="D36:N36" si="3">SUM(D30:D35)</f>
        <v>-943.61761398639385</v>
      </c>
      <c r="E36" s="75">
        <f t="shared" si="3"/>
        <v>-2302.9025147148486</v>
      </c>
      <c r="F36" s="75">
        <f t="shared" si="3"/>
        <v>-2308.4594740768166</v>
      </c>
      <c r="G36" s="75">
        <f t="shared" si="3"/>
        <v>-3465.9577636663385</v>
      </c>
      <c r="H36" s="75">
        <f t="shared" si="3"/>
        <v>-2298.4954897174503</v>
      </c>
      <c r="I36" s="75">
        <f t="shared" si="3"/>
        <v>-3985.019880390505</v>
      </c>
      <c r="J36" s="75">
        <f t="shared" si="3"/>
        <v>-2369.1669913153582</v>
      </c>
      <c r="K36" s="75">
        <f t="shared" si="3"/>
        <v>-1669.7511186567033</v>
      </c>
      <c r="L36" s="75">
        <f t="shared" si="3"/>
        <v>-5549.1812642322384</v>
      </c>
      <c r="M36" s="75">
        <f t="shared" si="3"/>
        <v>-1520.0723547463206</v>
      </c>
      <c r="N36" s="75">
        <f t="shared" si="3"/>
        <v>-4255.4848114793122</v>
      </c>
      <c r="O36" s="75">
        <f>SUM(O30:O35)</f>
        <v>-5181.1175590855755</v>
      </c>
      <c r="P36" s="75">
        <f t="shared" si="0"/>
        <v>-35849.226836067864</v>
      </c>
      <c r="Q36" s="35">
        <v>7</v>
      </c>
      <c r="R36" s="12" t="s">
        <v>91</v>
      </c>
      <c r="S36" s="74"/>
      <c r="T36" s="75">
        <f t="shared" ref="T36:AE36" si="4">SUM(T30:T35)</f>
        <v>-87.58090041413449</v>
      </c>
      <c r="U36" s="75">
        <f t="shared" si="4"/>
        <v>-6066.7052106767787</v>
      </c>
      <c r="V36" s="75">
        <f t="shared" si="4"/>
        <v>-5865.8696490104376</v>
      </c>
      <c r="W36" s="75">
        <f t="shared" si="4"/>
        <v>-4519.7547427237014</v>
      </c>
      <c r="X36" s="75">
        <f t="shared" si="4"/>
        <v>-5581.8667649073086</v>
      </c>
      <c r="Y36" s="75">
        <f t="shared" si="4"/>
        <v>-4507.4124666478219</v>
      </c>
      <c r="Z36" s="75">
        <f t="shared" si="4"/>
        <v>-4471.3681183341278</v>
      </c>
      <c r="AA36" s="75">
        <f t="shared" si="4"/>
        <v>-2763.1977259198288</v>
      </c>
      <c r="AB36" s="75">
        <f t="shared" si="4"/>
        <v>-2758.2137686408346</v>
      </c>
      <c r="AC36" s="75">
        <f>SUM(AC30:AC35)</f>
        <v>-4578.9078550223421</v>
      </c>
      <c r="AD36" s="75">
        <f>SUM(AD30:AD35)</f>
        <v>-2746.9956750223423</v>
      </c>
      <c r="AE36" s="75">
        <f t="shared" si="4"/>
        <v>-5433.9636021325687</v>
      </c>
      <c r="AF36" s="75">
        <f t="shared" si="1"/>
        <v>-49381.836479452228</v>
      </c>
      <c r="AG36" s="35">
        <v>6</v>
      </c>
      <c r="AH36" s="12" t="s">
        <v>91</v>
      </c>
      <c r="AI36" s="74"/>
      <c r="AJ36" s="75">
        <f t="shared" ref="AJ36:AU36" si="5">SUM(AJ30:AJ35)</f>
        <v>-55.602746169008121</v>
      </c>
      <c r="AK36" s="75">
        <f t="shared" si="5"/>
        <v>-3083.382429351911</v>
      </c>
      <c r="AL36" s="75">
        <f t="shared" si="5"/>
        <v>-3810.2881021662242</v>
      </c>
      <c r="AM36" s="75">
        <f t="shared" si="5"/>
        <v>-3083.382429351911</v>
      </c>
      <c r="AN36" s="75">
        <f t="shared" si="5"/>
        <v>-3083.382429351911</v>
      </c>
      <c r="AO36" s="75">
        <f t="shared" si="5"/>
        <v>-3810.2881021662242</v>
      </c>
      <c r="AP36" s="75">
        <f t="shared" si="5"/>
        <v>-3083.382429351911</v>
      </c>
      <c r="AQ36" s="75">
        <f t="shared" si="5"/>
        <v>-3083.382429351911</v>
      </c>
      <c r="AR36" s="75">
        <f>SUM(AR30:AR35)</f>
        <v>-3810.2881021662242</v>
      </c>
      <c r="AS36" s="75">
        <f t="shared" si="5"/>
        <v>-3083.382429351911</v>
      </c>
      <c r="AT36" s="75">
        <f t="shared" si="5"/>
        <v>-3083.382429351911</v>
      </c>
      <c r="AU36" s="75">
        <f t="shared" si="5"/>
        <v>-6838.067785349127</v>
      </c>
      <c r="AV36" s="75">
        <f t="shared" si="2"/>
        <v>-39908.211843480189</v>
      </c>
    </row>
    <row r="37" spans="1:48" x14ac:dyDescent="0.2">
      <c r="A37" s="35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35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35"/>
      <c r="AI37" s="74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</row>
    <row r="38" spans="1:48" x14ac:dyDescent="0.2">
      <c r="A38" s="35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35">
        <v>8</v>
      </c>
      <c r="R38" s="12" t="s">
        <v>92</v>
      </c>
      <c r="S38" s="74"/>
      <c r="T38" s="75">
        <f t="shared" ref="T38:AE38" si="6">T40-T39</f>
        <v>194.64090456225404</v>
      </c>
      <c r="U38" s="75">
        <f t="shared" si="6"/>
        <v>327.89882821010951</v>
      </c>
      <c r="V38" s="75">
        <f t="shared" si="6"/>
        <v>2026.3382946126712</v>
      </c>
      <c r="W38" s="75">
        <f t="shared" si="6"/>
        <v>149.21015314212042</v>
      </c>
      <c r="X38" s="75">
        <f t="shared" si="6"/>
        <v>3339.1228052359825</v>
      </c>
      <c r="Y38" s="75">
        <f t="shared" si="6"/>
        <v>868.73626637684458</v>
      </c>
      <c r="Z38" s="75">
        <f t="shared" si="6"/>
        <v>2463.0806354661536</v>
      </c>
      <c r="AA38" s="75">
        <f t="shared" si="6"/>
        <v>3365.9454158544622</v>
      </c>
      <c r="AB38" s="75">
        <f t="shared" si="6"/>
        <v>1162.1859556050483</v>
      </c>
      <c r="AC38" s="75">
        <f>AC40-AC39</f>
        <v>7510.4299060026515</v>
      </c>
      <c r="AD38" s="75">
        <f t="shared" si="6"/>
        <v>7510.4299060026515</v>
      </c>
      <c r="AE38" s="75">
        <f t="shared" si="6"/>
        <v>7510.4299060026515</v>
      </c>
      <c r="AF38" s="75">
        <f>SUM(T38:AE38)</f>
        <v>36428.448977073604</v>
      </c>
      <c r="AG38" s="35">
        <v>7</v>
      </c>
      <c r="AH38" s="12" t="str">
        <f>R38</f>
        <v>Energy Efficiency Expenditures - PA Models</v>
      </c>
      <c r="AI38" s="74"/>
      <c r="AJ38" s="75">
        <f t="shared" ref="AJ38:AU38" si="7">AJ40-AJ39</f>
        <v>2891.6094332533621</v>
      </c>
      <c r="AK38" s="75">
        <f t="shared" si="7"/>
        <v>2891.6094332533621</v>
      </c>
      <c r="AL38" s="75">
        <f t="shared" si="7"/>
        <v>2891.6094332533621</v>
      </c>
      <c r="AM38" s="75">
        <f t="shared" si="7"/>
        <v>2891.6094332533621</v>
      </c>
      <c r="AN38" s="75">
        <f t="shared" si="7"/>
        <v>2891.6094332533621</v>
      </c>
      <c r="AO38" s="75">
        <f t="shared" si="7"/>
        <v>2891.6094332533621</v>
      </c>
      <c r="AP38" s="75">
        <f t="shared" si="7"/>
        <v>2891.6094332533621</v>
      </c>
      <c r="AQ38" s="75">
        <f t="shared" si="7"/>
        <v>2891.6094332533621</v>
      </c>
      <c r="AR38" s="75">
        <f t="shared" si="7"/>
        <v>2891.6094332533621</v>
      </c>
      <c r="AS38" s="75">
        <f t="shared" si="7"/>
        <v>2891.6094332533621</v>
      </c>
      <c r="AT38" s="75">
        <f t="shared" si="7"/>
        <v>2891.6094332533621</v>
      </c>
      <c r="AU38" s="75">
        <f t="shared" si="7"/>
        <v>2891.6094332533621</v>
      </c>
      <c r="AV38" s="75">
        <f>SUM(AJ38:AU38)</f>
        <v>34699.313199040342</v>
      </c>
    </row>
    <row r="39" spans="1:48" ht="15" x14ac:dyDescent="0.35">
      <c r="A39" s="35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35">
        <v>9</v>
      </c>
      <c r="R39" s="12" t="s">
        <v>93</v>
      </c>
      <c r="S39" s="74"/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830.15124000000003</v>
      </c>
      <c r="AB39" s="76">
        <v>688.36835999999994</v>
      </c>
      <c r="AC39" s="76">
        <v>2844.4690379315821</v>
      </c>
      <c r="AD39" s="76">
        <v>2844.4690379315821</v>
      </c>
      <c r="AE39" s="76">
        <v>2844.4690379315821</v>
      </c>
      <c r="AF39" s="76">
        <f>SUM(T39:AE39)</f>
        <v>10051.926713794746</v>
      </c>
      <c r="AG39" s="35">
        <v>8</v>
      </c>
      <c r="AH39" s="12" t="str">
        <f>R39</f>
        <v>Energy Efficiency Expenditures - Electrification Pool</v>
      </c>
      <c r="AI39" s="74"/>
      <c r="AJ39" s="76">
        <v>839.18774286320843</v>
      </c>
      <c r="AK39" s="76">
        <v>839.18774286320843</v>
      </c>
      <c r="AL39" s="76">
        <v>839.18774286320843</v>
      </c>
      <c r="AM39" s="76">
        <v>839.18774286320843</v>
      </c>
      <c r="AN39" s="76">
        <v>839.18774286320843</v>
      </c>
      <c r="AO39" s="76">
        <v>839.18774286320843</v>
      </c>
      <c r="AP39" s="76">
        <v>839.18774286320843</v>
      </c>
      <c r="AQ39" s="76">
        <v>839.18774286320843</v>
      </c>
      <c r="AR39" s="76">
        <v>839.18774286320843</v>
      </c>
      <c r="AS39" s="76">
        <v>839.18774286320843</v>
      </c>
      <c r="AT39" s="76">
        <v>839.18774286320843</v>
      </c>
      <c r="AU39" s="76">
        <v>839.18774286320843</v>
      </c>
      <c r="AV39" s="76">
        <f>SUM(AJ39:AU39)</f>
        <v>10070.252914358503</v>
      </c>
    </row>
    <row r="40" spans="1:48" x14ac:dyDescent="0.2">
      <c r="A40" s="35">
        <v>8</v>
      </c>
      <c r="B40" s="12" t="s">
        <v>94</v>
      </c>
      <c r="C40" s="74"/>
      <c r="D40" s="75">
        <v>66.208341559884403</v>
      </c>
      <c r="E40" s="75">
        <v>1005.021068316309</v>
      </c>
      <c r="F40" s="75">
        <v>3420.5375607272476</v>
      </c>
      <c r="G40" s="75">
        <v>3628.3963665955689</v>
      </c>
      <c r="H40" s="75">
        <v>3757.722484986366</v>
      </c>
      <c r="I40" s="75">
        <v>3793.4512033103069</v>
      </c>
      <c r="J40" s="75">
        <v>1851.2174688232033</v>
      </c>
      <c r="K40" s="75">
        <v>3196.8318932129118</v>
      </c>
      <c r="L40" s="75">
        <v>1419.973591902602</v>
      </c>
      <c r="M40" s="75">
        <v>3604.0295966612985</v>
      </c>
      <c r="N40" s="75">
        <v>4258.6134293148634</v>
      </c>
      <c r="O40" s="75">
        <v>12663.07345408378</v>
      </c>
      <c r="P40" s="75">
        <f>SUM(D40:O40)</f>
        <v>42665.076459494347</v>
      </c>
      <c r="Q40" s="35">
        <v>10</v>
      </c>
      <c r="R40" s="12" t="s">
        <v>94</v>
      </c>
      <c r="S40" s="74"/>
      <c r="T40" s="75">
        <v>194.64090456225404</v>
      </c>
      <c r="U40" s="75">
        <v>327.89882821010951</v>
      </c>
      <c r="V40" s="75">
        <v>2026.3382946126712</v>
      </c>
      <c r="W40" s="75">
        <v>149.21015314212042</v>
      </c>
      <c r="X40" s="75">
        <v>3339.1228052359825</v>
      </c>
      <c r="Y40" s="75">
        <v>868.73626637684458</v>
      </c>
      <c r="Z40" s="75">
        <v>2463.0806354661536</v>
      </c>
      <c r="AA40" s="75">
        <v>4196.0966558544624</v>
      </c>
      <c r="AB40" s="75">
        <v>1850.5543156050483</v>
      </c>
      <c r="AC40" s="75">
        <v>10354.898943934233</v>
      </c>
      <c r="AD40" s="75">
        <v>10354.898943934233</v>
      </c>
      <c r="AE40" s="75">
        <v>10354.898943934233</v>
      </c>
      <c r="AF40" s="75">
        <f>SUM(T40:AE40)</f>
        <v>46480.375690868343</v>
      </c>
      <c r="AG40" s="35">
        <v>9</v>
      </c>
      <c r="AH40" s="12" t="s">
        <v>94</v>
      </c>
      <c r="AI40" s="74"/>
      <c r="AJ40" s="75">
        <v>3730.7971761165704</v>
      </c>
      <c r="AK40" s="75">
        <v>3730.7971761165704</v>
      </c>
      <c r="AL40" s="75">
        <v>3730.7971761165704</v>
      </c>
      <c r="AM40" s="75">
        <v>3730.7971761165704</v>
      </c>
      <c r="AN40" s="75">
        <v>3730.7971761165704</v>
      </c>
      <c r="AO40" s="75">
        <v>3730.7971761165704</v>
      </c>
      <c r="AP40" s="75">
        <v>3730.7971761165704</v>
      </c>
      <c r="AQ40" s="75">
        <v>3730.7971761165704</v>
      </c>
      <c r="AR40" s="75">
        <v>3730.7971761165704</v>
      </c>
      <c r="AS40" s="75">
        <v>3730.7971761165704</v>
      </c>
      <c r="AT40" s="75">
        <v>3730.7971761165704</v>
      </c>
      <c r="AU40" s="75">
        <v>3730.7971761165704</v>
      </c>
      <c r="AV40" s="75">
        <f>SUM(AJ40:AU40)</f>
        <v>44769.56611339884</v>
      </c>
    </row>
    <row r="41" spans="1:48" x14ac:dyDescent="0.2">
      <c r="A41" s="35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35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35"/>
      <c r="AI41" s="74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</row>
    <row r="42" spans="1:48" ht="15" x14ac:dyDescent="0.35">
      <c r="A42" s="35">
        <v>9</v>
      </c>
      <c r="B42" s="12" t="s">
        <v>95</v>
      </c>
      <c r="C42" s="75"/>
      <c r="D42" s="75">
        <f t="shared" ref="D42:O42" si="8">D36+D40</f>
        <v>-877.40927242650946</v>
      </c>
      <c r="E42" s="75">
        <f t="shared" si="8"/>
        <v>-1297.8814463985395</v>
      </c>
      <c r="F42" s="75">
        <f t="shared" si="8"/>
        <v>1112.078086650431</v>
      </c>
      <c r="G42" s="75">
        <f t="shared" si="8"/>
        <v>162.43860292923046</v>
      </c>
      <c r="H42" s="75">
        <f t="shared" si="8"/>
        <v>1459.2269952689157</v>
      </c>
      <c r="I42" s="75">
        <f t="shared" si="8"/>
        <v>-191.56867708019809</v>
      </c>
      <c r="J42" s="75">
        <f t="shared" si="8"/>
        <v>-517.94952249215498</v>
      </c>
      <c r="K42" s="75">
        <f t="shared" si="8"/>
        <v>1527.0807745562086</v>
      </c>
      <c r="L42" s="75">
        <f t="shared" si="8"/>
        <v>-4129.2076723296359</v>
      </c>
      <c r="M42" s="75">
        <f t="shared" si="8"/>
        <v>2083.9572419149781</v>
      </c>
      <c r="N42" s="75">
        <f t="shared" si="8"/>
        <v>3.1286178355512675</v>
      </c>
      <c r="O42" s="75">
        <f t="shared" si="8"/>
        <v>7481.9558949982047</v>
      </c>
      <c r="P42" s="76"/>
      <c r="Q42" s="35">
        <v>11</v>
      </c>
      <c r="R42" s="12" t="s">
        <v>95</v>
      </c>
      <c r="S42" s="75"/>
      <c r="T42" s="75">
        <f t="shared" ref="T42:AE42" si="9">T36+T40</f>
        <v>107.06000414811955</v>
      </c>
      <c r="U42" s="75">
        <f t="shared" si="9"/>
        <v>-5738.8063824666697</v>
      </c>
      <c r="V42" s="75">
        <f t="shared" si="9"/>
        <v>-3839.5313543977663</v>
      </c>
      <c r="W42" s="75">
        <f t="shared" si="9"/>
        <v>-4370.544589581581</v>
      </c>
      <c r="X42" s="75">
        <f t="shared" si="9"/>
        <v>-2242.7439596713261</v>
      </c>
      <c r="Y42" s="75">
        <f t="shared" si="9"/>
        <v>-3638.6762002709775</v>
      </c>
      <c r="Z42" s="75">
        <f t="shared" si="9"/>
        <v>-2008.2874828679742</v>
      </c>
      <c r="AA42" s="75">
        <f t="shared" si="9"/>
        <v>1432.8989299346335</v>
      </c>
      <c r="AB42" s="75">
        <f t="shared" si="9"/>
        <v>-907.65945303578633</v>
      </c>
      <c r="AC42" s="75">
        <f>AC36+AC40</f>
        <v>5775.991088911891</v>
      </c>
      <c r="AD42" s="75">
        <f t="shared" si="9"/>
        <v>7607.9032689118903</v>
      </c>
      <c r="AE42" s="75">
        <f t="shared" si="9"/>
        <v>4920.9353418016644</v>
      </c>
      <c r="AF42" s="76"/>
      <c r="AG42" s="35">
        <v>10</v>
      </c>
      <c r="AH42" s="12" t="s">
        <v>95</v>
      </c>
      <c r="AI42" s="75"/>
      <c r="AJ42" s="75">
        <f t="shared" ref="AJ42:AU42" si="10">AJ36+AJ40</f>
        <v>3675.1944299475622</v>
      </c>
      <c r="AK42" s="75">
        <f t="shared" si="10"/>
        <v>647.41474676465941</v>
      </c>
      <c r="AL42" s="75">
        <f t="shared" si="10"/>
        <v>-79.490926049653808</v>
      </c>
      <c r="AM42" s="75">
        <f t="shared" si="10"/>
        <v>647.41474676465941</v>
      </c>
      <c r="AN42" s="75">
        <f t="shared" si="10"/>
        <v>647.41474676465941</v>
      </c>
      <c r="AO42" s="75">
        <f t="shared" si="10"/>
        <v>-79.490926049653808</v>
      </c>
      <c r="AP42" s="75">
        <f t="shared" si="10"/>
        <v>647.41474676465941</v>
      </c>
      <c r="AQ42" s="75">
        <f t="shared" si="10"/>
        <v>647.41474676465941</v>
      </c>
      <c r="AR42" s="75">
        <f t="shared" si="10"/>
        <v>-79.490926049653808</v>
      </c>
      <c r="AS42" s="75">
        <f t="shared" si="10"/>
        <v>647.41474676465941</v>
      </c>
      <c r="AT42" s="75">
        <f t="shared" si="10"/>
        <v>647.41474676465941</v>
      </c>
      <c r="AU42" s="75">
        <f t="shared" si="10"/>
        <v>-3107.2706092325566</v>
      </c>
      <c r="AV42" s="76"/>
    </row>
    <row r="43" spans="1:48" ht="15" x14ac:dyDescent="0.35">
      <c r="A43" s="35">
        <v>10</v>
      </c>
      <c r="B43" s="12" t="s">
        <v>96</v>
      </c>
      <c r="C43" s="74"/>
      <c r="D43" s="76">
        <v>-36.195702665875821</v>
      </c>
      <c r="E43" s="76">
        <v>-26.42649401320168</v>
      </c>
      <c r="F43" s="76">
        <v>-24.773382405288491</v>
      </c>
      <c r="G43" s="76">
        <v>-20.922082425292377</v>
      </c>
      <c r="H43" s="76">
        <v>-21.218597571180862</v>
      </c>
      <c r="I43" s="76">
        <v>-20.181977980960497</v>
      </c>
      <c r="J43" s="76">
        <v>-14.492006076003745</v>
      </c>
      <c r="K43" s="76">
        <v>-11.502406151948845</v>
      </c>
      <c r="L43" s="76">
        <v>-13.246897815389923</v>
      </c>
      <c r="M43" s="76">
        <v>-13.19605074159133</v>
      </c>
      <c r="N43" s="76">
        <v>-11.918983463308392</v>
      </c>
      <c r="O43" s="76">
        <v>-8.1701176853500996</v>
      </c>
      <c r="P43" s="76">
        <f>SUM(D43:O43)</f>
        <v>-222.24469899539204</v>
      </c>
      <c r="Q43" s="35">
        <v>12</v>
      </c>
      <c r="R43" s="12" t="s">
        <v>96</v>
      </c>
      <c r="S43" s="74"/>
      <c r="T43" s="76">
        <v>-54.054471318566833</v>
      </c>
      <c r="U43" s="76">
        <v>-29.022232568868333</v>
      </c>
      <c r="V43" s="76">
        <v>-36.708639827970202</v>
      </c>
      <c r="W43" s="76">
        <v>-40.243174923759661</v>
      </c>
      <c r="X43" s="76">
        <v>-45.27886869454111</v>
      </c>
      <c r="Y43" s="76">
        <v>-49.113466133643961</v>
      </c>
      <c r="Z43" s="76">
        <v>-57.206782273503194</v>
      </c>
      <c r="AA43" s="76">
        <v>-57.379110991761308</v>
      </c>
      <c r="AB43" s="76">
        <v>-44.714097691850284</v>
      </c>
      <c r="AC43" s="76">
        <f>IF(AC27="Planned",(AB44+AC42/2)*AC45/12,"Update to Actuals")</f>
        <v>-59.07603271693403</v>
      </c>
      <c r="AD43" s="76">
        <f>IF(AD27="Planned",(AC44+AD42/2)*AD45/12,"Update to Actuals")</f>
        <v>-39.656459972241016</v>
      </c>
      <c r="AE43" s="76">
        <f>IF(AE27="Planned",(AD44+AE42/2)*AE45/12,"Update to Actuals")</f>
        <v>-21.431737641587404</v>
      </c>
      <c r="AF43" s="76">
        <f>SUM(T43:AE43)</f>
        <v>-533.88507475522738</v>
      </c>
      <c r="AG43" s="35">
        <v>11</v>
      </c>
      <c r="AH43" s="12" t="s">
        <v>96</v>
      </c>
      <c r="AI43" s="74"/>
      <c r="AJ43" s="76">
        <f t="shared" ref="AJ43:AU43" si="11">IF(AJ27="Planned",(AI44+AJ42/2)*AJ45/12,"Update to Actuals")</f>
        <v>-8.9107061464829354</v>
      </c>
      <c r="AK43" s="76">
        <f t="shared" si="11"/>
        <v>-2.6089751691247471</v>
      </c>
      <c r="AL43" s="76">
        <f t="shared" si="11"/>
        <v>-1.7852362977676626</v>
      </c>
      <c r="AM43" s="76">
        <f t="shared" si="11"/>
        <v>-0.9590857020483271</v>
      </c>
      <c r="AN43" s="76">
        <f t="shared" si="11"/>
        <v>0.9335928167294284</v>
      </c>
      <c r="AO43" s="76">
        <f t="shared" si="11"/>
        <v>1.7677035399117635</v>
      </c>
      <c r="AP43" s="76">
        <f t="shared" si="11"/>
        <v>2.6042563539336383</v>
      </c>
      <c r="AQ43" s="76">
        <f t="shared" si="11"/>
        <v>4.5073675463975187</v>
      </c>
      <c r="AR43" s="76">
        <f t="shared" si="11"/>
        <v>5.35194148781616</v>
      </c>
      <c r="AS43" s="76">
        <f t="shared" si="11"/>
        <v>6.1989881540521772</v>
      </c>
      <c r="AT43" s="76">
        <f t="shared" si="11"/>
        <v>8.1126239223975158</v>
      </c>
      <c r="AU43" s="76">
        <f t="shared" si="11"/>
        <v>4.5354202171020308</v>
      </c>
      <c r="AV43" s="76">
        <f>SUM(AJ43:AU43)</f>
        <v>19.747890722916559</v>
      </c>
    </row>
    <row r="44" spans="1:48" ht="15" x14ac:dyDescent="0.35">
      <c r="A44" s="35">
        <v>11</v>
      </c>
      <c r="B44" s="12" t="s">
        <v>97</v>
      </c>
      <c r="C44" s="77">
        <v>-8039.3612217335549</v>
      </c>
      <c r="D44" s="77">
        <f t="shared" ref="D44:L44" si="12">C44+D42+D43</f>
        <v>-8952.9661968259406</v>
      </c>
      <c r="E44" s="77">
        <f t="shared" si="12"/>
        <v>-10277.274137237682</v>
      </c>
      <c r="F44" s="77">
        <f t="shared" si="12"/>
        <v>-9189.9694329925405</v>
      </c>
      <c r="G44" s="77">
        <f t="shared" si="12"/>
        <v>-9048.4529124886012</v>
      </c>
      <c r="H44" s="77">
        <f t="shared" si="12"/>
        <v>-7610.4445147908664</v>
      </c>
      <c r="I44" s="77">
        <f t="shared" si="12"/>
        <v>-7822.1951698520252</v>
      </c>
      <c r="J44" s="77">
        <f t="shared" si="12"/>
        <v>-8354.6366984201832</v>
      </c>
      <c r="K44" s="77">
        <f t="shared" si="12"/>
        <v>-6839.0583300159233</v>
      </c>
      <c r="L44" s="77">
        <f t="shared" si="12"/>
        <v>-10981.512900160949</v>
      </c>
      <c r="M44" s="77">
        <f>L44+M42+M43</f>
        <v>-8910.7517089875637</v>
      </c>
      <c r="N44" s="77">
        <f>M44+N42+N43</f>
        <v>-8919.5420746153213</v>
      </c>
      <c r="O44" s="77">
        <f>N44+O42+O43</f>
        <v>-1445.7562973024667</v>
      </c>
      <c r="P44" s="77"/>
      <c r="Q44" s="35">
        <v>13</v>
      </c>
      <c r="R44" s="12" t="s">
        <v>97</v>
      </c>
      <c r="S44" s="77">
        <f>O44</f>
        <v>-1445.7562973024667</v>
      </c>
      <c r="T44" s="77">
        <f t="shared" ref="T44:AD44" si="13">S44+T42+T43</f>
        <v>-1392.7507644729139</v>
      </c>
      <c r="U44" s="77">
        <f t="shared" si="13"/>
        <v>-7160.5793795084519</v>
      </c>
      <c r="V44" s="77">
        <f t="shared" si="13"/>
        <v>-11036.819373734188</v>
      </c>
      <c r="W44" s="77">
        <f t="shared" si="13"/>
        <v>-15447.607138239529</v>
      </c>
      <c r="X44" s="77">
        <f t="shared" si="13"/>
        <v>-17735.629966605396</v>
      </c>
      <c r="Y44" s="77">
        <f t="shared" si="13"/>
        <v>-21423.419633010017</v>
      </c>
      <c r="Z44" s="77">
        <f t="shared" si="13"/>
        <v>-23488.913898151495</v>
      </c>
      <c r="AA44" s="77">
        <f t="shared" si="13"/>
        <v>-22113.394079208625</v>
      </c>
      <c r="AB44" s="77">
        <f t="shared" si="13"/>
        <v>-23065.767629936261</v>
      </c>
      <c r="AC44" s="77">
        <f>AB44+AC42+AC43</f>
        <v>-17348.852573741304</v>
      </c>
      <c r="AD44" s="77">
        <f t="shared" si="13"/>
        <v>-9780.605764801654</v>
      </c>
      <c r="AE44" s="77">
        <f>AD44+AE42+AE43</f>
        <v>-4881.102160641577</v>
      </c>
      <c r="AF44" s="77"/>
      <c r="AG44" s="35">
        <v>12</v>
      </c>
      <c r="AH44" s="12" t="s">
        <v>97</v>
      </c>
      <c r="AI44" s="77">
        <f>AE44</f>
        <v>-4881.102160641577</v>
      </c>
      <c r="AJ44" s="77">
        <f t="shared" ref="AJ44:AR44" si="14">AI44+AJ42+AJ43</f>
        <v>-1214.8184368404977</v>
      </c>
      <c r="AK44" s="77">
        <f t="shared" si="14"/>
        <v>-570.01266524496305</v>
      </c>
      <c r="AL44" s="77">
        <f>AK44+AL42+AL43</f>
        <v>-651.28882759238456</v>
      </c>
      <c r="AM44" s="77">
        <f>AL44+AM42+AM43</f>
        <v>-4.8331665297734787</v>
      </c>
      <c r="AN44" s="77">
        <f t="shared" si="14"/>
        <v>643.51517305161531</v>
      </c>
      <c r="AO44" s="77">
        <f t="shared" si="14"/>
        <v>565.79195054187323</v>
      </c>
      <c r="AP44" s="77">
        <f t="shared" si="14"/>
        <v>1215.8109536604661</v>
      </c>
      <c r="AQ44" s="77">
        <f t="shared" si="14"/>
        <v>1867.733067971523</v>
      </c>
      <c r="AR44" s="77">
        <f t="shared" si="14"/>
        <v>1793.5940834096855</v>
      </c>
      <c r="AS44" s="77">
        <f>AR44+AS42+AS43</f>
        <v>2447.207818328397</v>
      </c>
      <c r="AT44" s="77">
        <f>AS44+AT42+AT43</f>
        <v>3102.7351890154541</v>
      </c>
      <c r="AU44" s="77">
        <f>AT44+AU42+AU43</f>
        <v>-4.2454928461665986E-13</v>
      </c>
      <c r="AV44" s="77"/>
    </row>
    <row r="45" spans="1:48" x14ac:dyDescent="0.2">
      <c r="A45" s="35">
        <v>12</v>
      </c>
      <c r="B45" s="12" t="s">
        <v>98</v>
      </c>
      <c r="C45" s="78"/>
      <c r="D45" s="79">
        <v>4.2900000000000001E-2</v>
      </c>
      <c r="E45" s="79">
        <v>4.3299999999999998E-2</v>
      </c>
      <c r="F45" s="79">
        <v>4.2500000000000003E-2</v>
      </c>
      <c r="G45" s="79">
        <v>4.24E-2</v>
      </c>
      <c r="H45" s="79">
        <v>4.0800000000000003E-2</v>
      </c>
      <c r="I45" s="79">
        <v>4.53E-2</v>
      </c>
      <c r="J45" s="79">
        <v>4.41E-2</v>
      </c>
      <c r="K45" s="79">
        <v>3.9199999999999999E-2</v>
      </c>
      <c r="L45" s="79">
        <v>4.2200000000000001E-2</v>
      </c>
      <c r="M45" s="79">
        <v>4.1399999999999999E-2</v>
      </c>
      <c r="N45" s="79">
        <v>3.78E-2</v>
      </c>
      <c r="O45" s="79">
        <v>4.1300000000000003E-2</v>
      </c>
      <c r="P45" s="80"/>
      <c r="Q45" s="35">
        <v>14</v>
      </c>
      <c r="R45" s="12" t="s">
        <v>98</v>
      </c>
      <c r="S45" s="78"/>
      <c r="T45" s="79">
        <v>3.9600000000000003E-2</v>
      </c>
      <c r="U45" s="79">
        <v>2.9600000000000001E-2</v>
      </c>
      <c r="V45" s="79">
        <v>3.8100000000000002E-2</v>
      </c>
      <c r="W45" s="79">
        <v>3.7199999999999997E-2</v>
      </c>
      <c r="X45" s="79">
        <v>3.5700000000000003E-2</v>
      </c>
      <c r="Y45" s="79">
        <v>3.7100000000000001E-2</v>
      </c>
      <c r="Z45" s="79">
        <v>3.5200000000000002E-2</v>
      </c>
      <c r="AA45" s="79">
        <v>3.4099999999999998E-2</v>
      </c>
      <c r="AB45" s="79">
        <v>3.61E-2</v>
      </c>
      <c r="AC45" s="79">
        <v>3.5133333333333329E-2</v>
      </c>
      <c r="AD45" s="79">
        <v>3.5133333333333329E-2</v>
      </c>
      <c r="AE45" s="79">
        <v>3.5133333333333329E-2</v>
      </c>
      <c r="AF45" s="80"/>
      <c r="AG45" s="35">
        <v>13</v>
      </c>
      <c r="AH45" s="12" t="s">
        <v>98</v>
      </c>
      <c r="AI45" s="78"/>
      <c r="AJ45" s="79">
        <v>3.5133333333333329E-2</v>
      </c>
      <c r="AK45" s="79">
        <v>3.5133333333333329E-2</v>
      </c>
      <c r="AL45" s="79">
        <v>3.5133333333333329E-2</v>
      </c>
      <c r="AM45" s="79">
        <v>3.5133333333333329E-2</v>
      </c>
      <c r="AN45" s="79">
        <v>3.5133333333333329E-2</v>
      </c>
      <c r="AO45" s="79">
        <v>3.5133333333333329E-2</v>
      </c>
      <c r="AP45" s="79">
        <v>3.5133333333333329E-2</v>
      </c>
      <c r="AQ45" s="79">
        <v>3.5133333333333329E-2</v>
      </c>
      <c r="AR45" s="79">
        <v>3.5133333333333329E-2</v>
      </c>
      <c r="AS45" s="79">
        <v>3.5133333333333329E-2</v>
      </c>
      <c r="AT45" s="79">
        <v>3.5133333333333329E-2</v>
      </c>
      <c r="AU45" s="79">
        <v>3.5133333333333329E-2</v>
      </c>
      <c r="AV45" s="78"/>
    </row>
    <row r="46" spans="1:48" x14ac:dyDescent="0.2">
      <c r="A46" s="35"/>
      <c r="B46" s="81"/>
      <c r="C46" s="8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0"/>
      <c r="Q46" s="35"/>
      <c r="R46" s="81"/>
      <c r="S46" s="80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35"/>
      <c r="AH46" s="81"/>
      <c r="AI46" s="80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0"/>
    </row>
    <row r="47" spans="1:48" s="81" customFormat="1" x14ac:dyDescent="0.2">
      <c r="A47" s="35"/>
      <c r="B47" s="12" t="s">
        <v>99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 t="str">
        <f>"*Sector portion of revenues are allocated based on forecasted "&amp;Year1&amp; " kWh sales."</f>
        <v>*Sector portion of revenues are allocated based on forecasted 2025 kWh sales.</v>
      </c>
      <c r="S47" s="80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0"/>
      <c r="AG47" s="35"/>
      <c r="AH47" s="12" t="str">
        <f>"*Sector portion of revenues are allocated based on forecasted "&amp;Year2&amp; " kWh sales."</f>
        <v>*Sector portion of revenues are allocated based on forecasted 2026 kWh sales.</v>
      </c>
      <c r="AI47" s="80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0"/>
    </row>
    <row r="48" spans="1:48" s="81" customFormat="1" x14ac:dyDescent="0.2">
      <c r="A48" s="35"/>
      <c r="B48" s="12" t="s">
        <v>100</v>
      </c>
      <c r="C48" s="80"/>
      <c r="D48" s="82"/>
      <c r="E48" s="82"/>
      <c r="F48" s="82"/>
      <c r="G48" s="82"/>
      <c r="H48" s="82" t="s">
        <v>36</v>
      </c>
      <c r="I48" s="82"/>
      <c r="J48" s="82"/>
      <c r="K48" s="82"/>
      <c r="L48" s="82"/>
      <c r="M48" s="82"/>
      <c r="N48" s="82"/>
      <c r="O48" s="82"/>
      <c r="P48" s="80"/>
      <c r="Q48" s="35"/>
      <c r="R48" s="12" t="str">
        <f>B48</f>
        <v>**Sector portion of revenues are allocated based on greenhouse gas reductions.</v>
      </c>
      <c r="S48" s="80"/>
      <c r="T48" s="82"/>
      <c r="U48" s="83"/>
      <c r="V48" s="83"/>
      <c r="W48" s="83"/>
      <c r="X48" s="83"/>
      <c r="Y48" s="83"/>
      <c r="Z48" s="83"/>
      <c r="AA48" s="83"/>
      <c r="AB48" s="83"/>
      <c r="AC48" s="83"/>
      <c r="AD48" s="82"/>
      <c r="AE48" s="82"/>
      <c r="AF48" s="80"/>
      <c r="AG48" s="35"/>
      <c r="AH48" s="12" t="str">
        <f>R48</f>
        <v>**Sector portion of revenues are allocated based on greenhouse gas reductions.</v>
      </c>
      <c r="AI48" s="80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0"/>
    </row>
    <row r="49" spans="1:48" s="81" customFormat="1" x14ac:dyDescent="0.2">
      <c r="A49" s="35"/>
      <c r="B49" s="12" t="s">
        <v>101</v>
      </c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0"/>
      <c r="Q49" s="35"/>
      <c r="R49" s="12" t="str">
        <f>B49</f>
        <v>***Other Revenue represents any RPS and APS credits associated with CVEO participants.</v>
      </c>
      <c r="S49" s="80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0"/>
      <c r="AG49" s="35"/>
      <c r="AH49" s="12" t="str">
        <f>R49</f>
        <v>***Other Revenue represents any RPS and APS credits associated with CVEO participants.</v>
      </c>
      <c r="AI49" s="80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0"/>
    </row>
    <row r="50" spans="1:48" s="81" customFormat="1" x14ac:dyDescent="0.2">
      <c r="A50" s="35"/>
      <c r="B50" s="4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35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68"/>
      <c r="AG50" s="35"/>
      <c r="AI50" s="80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0"/>
    </row>
  </sheetData>
  <mergeCells count="13">
    <mergeCell ref="A25:P25"/>
    <mergeCell ref="Q25:AF25"/>
    <mergeCell ref="AG25:AV25"/>
    <mergeCell ref="AG23:AV23"/>
    <mergeCell ref="A24:P24"/>
    <mergeCell ref="Q24:AF24"/>
    <mergeCell ref="AG24:AV24"/>
    <mergeCell ref="C1:J1"/>
    <mergeCell ref="C2:J2"/>
    <mergeCell ref="C3:J3"/>
    <mergeCell ref="R4:X4"/>
    <mergeCell ref="A23:P23"/>
    <mergeCell ref="Q23:AF23"/>
  </mergeCells>
  <pageMargins left="0.7" right="0.7" top="0.75" bottom="0.75" header="0.3" footer="0.3"/>
  <pageSetup scale="44" fitToWidth="5" orientation="landscape" r:id="rId1"/>
  <headerFooter>
    <oddHeader>&amp;R&amp;"Arial,Regular"&amp;10Cape Light Compact JPE
D.P.U. 25-154
Exhibit 2, EES Calculation
October 31, 2025
Page &amp;P of &amp;N</oddHeader>
  </headerFooter>
  <colBreaks count="2" manualBreakCount="2">
    <brk id="16" min="22" max="47" man="1"/>
    <brk id="32" min="22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31A7-334C-4AA1-A20C-58D79F8251AF}">
  <sheetPr codeName="Sheet34"/>
  <dimension ref="A1:AV50"/>
  <sheetViews>
    <sheetView showGridLines="0" zoomScale="90" zoomScaleNormal="90" workbookViewId="0"/>
  </sheetViews>
  <sheetFormatPr defaultColWidth="9.140625" defaultRowHeight="12.75" x14ac:dyDescent="0.2"/>
  <cols>
    <col min="1" max="1" width="5.5703125" style="12" customWidth="1"/>
    <col min="2" max="2" width="46.28515625" style="12" customWidth="1"/>
    <col min="3" max="10" width="15" style="12" customWidth="1"/>
    <col min="11" max="11" width="16.28515625" style="12" customWidth="1"/>
    <col min="12" max="12" width="18.42578125" style="12" customWidth="1"/>
    <col min="13" max="13" width="18.5703125" style="12" customWidth="1"/>
    <col min="14" max="14" width="17" style="12" customWidth="1"/>
    <col min="15" max="15" width="15.5703125" style="12" customWidth="1"/>
    <col min="16" max="16" width="15" style="12" customWidth="1"/>
    <col min="17" max="17" width="5.5703125" style="12" customWidth="1"/>
    <col min="18" max="18" width="46.28515625" style="12" customWidth="1"/>
    <col min="19" max="26" width="15" style="12" customWidth="1"/>
    <col min="27" max="27" width="16.28515625" style="12" customWidth="1"/>
    <col min="28" max="28" width="18.42578125" style="12" customWidth="1"/>
    <col min="29" max="29" width="18.5703125" style="12" customWidth="1"/>
    <col min="30" max="30" width="17" style="12" customWidth="1"/>
    <col min="31" max="31" width="15.5703125" style="12" customWidth="1"/>
    <col min="32" max="32" width="15" style="12" customWidth="1"/>
    <col min="33" max="33" width="5.5703125" style="12" customWidth="1"/>
    <col min="34" max="34" width="46.28515625" style="12" customWidth="1"/>
    <col min="35" max="42" width="15" style="12" customWidth="1"/>
    <col min="43" max="43" width="16.28515625" style="12" customWidth="1"/>
    <col min="44" max="44" width="18.42578125" style="12" customWidth="1"/>
    <col min="45" max="45" width="18.5703125" style="12" customWidth="1"/>
    <col min="46" max="46" width="17" style="12" customWidth="1"/>
    <col min="47" max="47" width="15.5703125" style="12" customWidth="1"/>
    <col min="48" max="48" width="15" style="12" customWidth="1"/>
    <col min="49" max="16384" width="9.140625" style="12"/>
  </cols>
  <sheetData>
    <row r="1" spans="1:27" x14ac:dyDescent="0.2">
      <c r="A1" s="43"/>
      <c r="C1" s="31" t="s">
        <v>0</v>
      </c>
      <c r="D1" s="31"/>
      <c r="E1" s="31"/>
      <c r="F1" s="31"/>
      <c r="G1" s="31"/>
      <c r="H1" s="31"/>
      <c r="I1" s="31"/>
      <c r="J1" s="31"/>
      <c r="K1" s="32"/>
      <c r="L1" s="32"/>
      <c r="M1" s="32"/>
    </row>
    <row r="2" spans="1:27" x14ac:dyDescent="0.2">
      <c r="A2" s="86"/>
      <c r="C2" s="31" t="s">
        <v>111</v>
      </c>
      <c r="D2" s="31"/>
      <c r="E2" s="31"/>
      <c r="F2" s="31"/>
      <c r="G2" s="31"/>
      <c r="H2" s="31"/>
      <c r="I2" s="31"/>
      <c r="J2" s="31"/>
      <c r="K2" s="32"/>
      <c r="L2" s="32"/>
      <c r="M2" s="32"/>
    </row>
    <row r="3" spans="1:27" x14ac:dyDescent="0.2">
      <c r="C3" s="31" t="s">
        <v>1</v>
      </c>
      <c r="D3" s="31"/>
      <c r="E3" s="31"/>
      <c r="F3" s="31"/>
      <c r="G3" s="31"/>
      <c r="H3" s="31"/>
      <c r="I3" s="31"/>
      <c r="J3" s="31"/>
      <c r="K3" s="32"/>
      <c r="L3" s="32"/>
      <c r="M3" s="32"/>
    </row>
    <row r="4" spans="1:27" x14ac:dyDescent="0.2">
      <c r="C4" s="33"/>
      <c r="D4" s="33"/>
      <c r="E4" s="33"/>
      <c r="F4" s="33"/>
      <c r="G4" s="33"/>
      <c r="H4" s="33"/>
      <c r="I4" s="33"/>
      <c r="J4" s="33"/>
      <c r="K4" s="32"/>
      <c r="L4" s="32"/>
      <c r="M4" s="32"/>
      <c r="R4" s="34"/>
      <c r="S4" s="34"/>
      <c r="T4" s="34"/>
      <c r="U4" s="34"/>
      <c r="V4" s="34"/>
      <c r="W4" s="34"/>
      <c r="X4" s="34"/>
    </row>
    <row r="5" spans="1:27" x14ac:dyDescent="0.2">
      <c r="C5" s="35"/>
      <c r="D5" s="36"/>
      <c r="E5" s="37"/>
      <c r="F5" s="39" t="s">
        <v>38</v>
      </c>
      <c r="G5" s="39"/>
      <c r="H5" s="37" t="s">
        <v>39</v>
      </c>
      <c r="I5" s="36"/>
      <c r="J5" s="37"/>
      <c r="K5" s="32"/>
      <c r="L5" s="32"/>
      <c r="M5" s="32"/>
      <c r="V5" s="35"/>
      <c r="W5" s="35"/>
      <c r="X5" s="35"/>
      <c r="Y5" s="35"/>
      <c r="Z5" s="35"/>
      <c r="AA5" s="35"/>
    </row>
    <row r="6" spans="1:27" x14ac:dyDescent="0.2">
      <c r="C6" s="39"/>
      <c r="D6" s="40" t="s">
        <v>40</v>
      </c>
      <c r="E6" s="39" t="s">
        <v>41</v>
      </c>
      <c r="F6" s="39" t="s">
        <v>42</v>
      </c>
      <c r="G6" s="41" t="s">
        <v>43</v>
      </c>
      <c r="H6" s="39" t="s">
        <v>44</v>
      </c>
      <c r="I6" s="40" t="s">
        <v>45</v>
      </c>
      <c r="J6" s="42" t="s">
        <v>46</v>
      </c>
      <c r="K6" s="32"/>
      <c r="L6" s="32"/>
      <c r="M6" s="32"/>
      <c r="U6" s="35"/>
      <c r="V6" s="39"/>
      <c r="W6" s="39"/>
      <c r="X6" s="35"/>
      <c r="Y6" s="35"/>
      <c r="Z6" s="35"/>
      <c r="AA6" s="35"/>
    </row>
    <row r="7" spans="1:27" ht="15" x14ac:dyDescent="0.35">
      <c r="C7" s="44" t="s">
        <v>47</v>
      </c>
      <c r="D7" s="45" t="s">
        <v>48</v>
      </c>
      <c r="E7" s="44" t="s">
        <v>49</v>
      </c>
      <c r="F7" s="44" t="s">
        <v>49</v>
      </c>
      <c r="G7" s="46" t="s">
        <v>50</v>
      </c>
      <c r="H7" s="44" t="s">
        <v>51</v>
      </c>
      <c r="I7" s="45" t="s">
        <v>52</v>
      </c>
      <c r="J7" s="47" t="s">
        <v>53</v>
      </c>
      <c r="K7" s="32"/>
      <c r="L7" s="32"/>
      <c r="M7" s="32"/>
      <c r="U7" s="44"/>
      <c r="V7" s="44"/>
      <c r="W7" s="44"/>
      <c r="X7" s="44"/>
      <c r="Y7" s="44"/>
      <c r="Z7" s="44"/>
      <c r="AA7" s="44"/>
    </row>
    <row r="8" spans="1:27" x14ac:dyDescent="0.2">
      <c r="C8" s="48" t="s">
        <v>8</v>
      </c>
      <c r="D8" s="49" t="s">
        <v>9</v>
      </c>
      <c r="E8" s="50" t="s">
        <v>10</v>
      </c>
      <c r="F8" s="51" t="s">
        <v>54</v>
      </c>
      <c r="G8" s="51" t="s">
        <v>55</v>
      </c>
      <c r="H8" s="50" t="s">
        <v>56</v>
      </c>
      <c r="I8" s="49" t="s">
        <v>57</v>
      </c>
      <c r="J8" s="50" t="s">
        <v>58</v>
      </c>
      <c r="K8" s="32"/>
      <c r="L8" s="32"/>
      <c r="M8" s="32"/>
      <c r="U8" s="48"/>
      <c r="V8" s="48"/>
      <c r="W8" s="48"/>
      <c r="X8" s="48"/>
      <c r="Y8" s="48"/>
      <c r="Z8" s="48"/>
      <c r="AA8" s="48"/>
    </row>
    <row r="9" spans="1:27" x14ac:dyDescent="0.2">
      <c r="C9" s="35"/>
      <c r="D9" s="36" t="s">
        <v>59</v>
      </c>
      <c r="E9" s="37" t="s">
        <v>60</v>
      </c>
      <c r="F9" s="52" t="s">
        <v>61</v>
      </c>
      <c r="G9" s="52"/>
      <c r="H9" s="37" t="s">
        <v>62</v>
      </c>
      <c r="I9" s="36" t="s">
        <v>63</v>
      </c>
      <c r="J9" s="37"/>
      <c r="K9" s="32"/>
      <c r="L9" s="32"/>
      <c r="M9" s="32"/>
    </row>
    <row r="10" spans="1:27" x14ac:dyDescent="0.2">
      <c r="C10" s="35">
        <f>Year2</f>
        <v>2026</v>
      </c>
      <c r="D10" s="53">
        <f>AV40</f>
        <v>25627.476787774427</v>
      </c>
      <c r="E10" s="54">
        <f>$AV$30</f>
        <v>-237.02647465185939</v>
      </c>
      <c r="F10" s="55">
        <f>$AV$33+$AV$34+$AV$35</f>
        <v>-568.54830362320342</v>
      </c>
      <c r="G10" s="55">
        <v>0</v>
      </c>
      <c r="H10" s="54">
        <f>$AE$44</f>
        <v>253.91232918366188</v>
      </c>
      <c r="I10" s="53">
        <f>$AV$43</f>
        <v>74.034038191076149</v>
      </c>
      <c r="J10" s="56">
        <f>SUM(D10:I10)</f>
        <v>25149.848376874103</v>
      </c>
      <c r="K10" s="32"/>
      <c r="L10" s="32"/>
      <c r="M10" s="32"/>
    </row>
    <row r="11" spans="1:27" x14ac:dyDescent="0.2">
      <c r="C11" s="87"/>
      <c r="D11" s="88"/>
      <c r="E11" s="87"/>
      <c r="F11" s="88"/>
      <c r="G11" s="89"/>
      <c r="H11" s="90"/>
      <c r="I11" s="91"/>
      <c r="J11" s="89"/>
      <c r="K11" s="32"/>
      <c r="L11" s="32"/>
      <c r="M11" s="32"/>
    </row>
    <row r="12" spans="1:27" x14ac:dyDescent="0.2">
      <c r="D12" s="63"/>
      <c r="F12" s="63"/>
      <c r="I12" s="92"/>
      <c r="K12" s="32"/>
      <c r="L12" s="32"/>
      <c r="M12" s="32"/>
    </row>
    <row r="13" spans="1:27" x14ac:dyDescent="0.2">
      <c r="C13" s="35" t="s">
        <v>64</v>
      </c>
      <c r="D13" s="12" t="str">
        <f>Res!D13</f>
        <v>Effective year (January 1, 2026 - December 31, 2026).</v>
      </c>
      <c r="I13" s="35"/>
      <c r="U13" s="35"/>
    </row>
    <row r="14" spans="1:27" ht="12.75" customHeight="1" x14ac:dyDescent="0.2">
      <c r="C14" s="35" t="s">
        <v>66</v>
      </c>
      <c r="D14" s="12" t="s">
        <v>112</v>
      </c>
      <c r="E14" s="67"/>
      <c r="F14" s="67"/>
      <c r="G14" s="67"/>
      <c r="H14" s="67"/>
      <c r="I14" s="67"/>
      <c r="J14" s="67"/>
      <c r="K14" s="67"/>
      <c r="L14" s="67"/>
      <c r="M14" s="12" t="s">
        <v>36</v>
      </c>
      <c r="U14" s="35"/>
    </row>
    <row r="15" spans="1:27" x14ac:dyDescent="0.2">
      <c r="C15" s="35" t="s">
        <v>67</v>
      </c>
      <c r="D15" s="12" t="s">
        <v>113</v>
      </c>
      <c r="I15" s="35"/>
      <c r="U15" s="35"/>
    </row>
    <row r="16" spans="1:27" x14ac:dyDescent="0.2">
      <c r="C16" s="35" t="s">
        <v>68</v>
      </c>
      <c r="D16" s="12" t="s">
        <v>114</v>
      </c>
      <c r="I16" s="35"/>
      <c r="U16" s="35"/>
    </row>
    <row r="17" spans="1:48" x14ac:dyDescent="0.2">
      <c r="C17" s="35" t="s">
        <v>69</v>
      </c>
      <c r="D17" s="65" t="s">
        <v>115</v>
      </c>
      <c r="I17" s="35"/>
      <c r="U17" s="35"/>
    </row>
    <row r="18" spans="1:48" x14ac:dyDescent="0.2">
      <c r="C18" s="35" t="s">
        <v>70</v>
      </c>
      <c r="D18" s="12" t="s">
        <v>116</v>
      </c>
      <c r="I18" s="35"/>
      <c r="J18" s="12" t="s">
        <v>36</v>
      </c>
      <c r="U18" s="35"/>
    </row>
    <row r="19" spans="1:48" x14ac:dyDescent="0.2">
      <c r="C19" s="35" t="s">
        <v>71</v>
      </c>
      <c r="D19" s="12" t="s">
        <v>117</v>
      </c>
      <c r="I19" s="35"/>
    </row>
    <row r="20" spans="1:48" ht="12.75" customHeight="1" x14ac:dyDescent="0.2">
      <c r="C20" s="35" t="s">
        <v>72</v>
      </c>
      <c r="D20" s="12" t="str">
        <f>Res!D20</f>
        <v>Col. B + Col. C + Col. D + Col. E + Col. F. + Col. G.</v>
      </c>
    </row>
    <row r="21" spans="1:48" x14ac:dyDescent="0.2">
      <c r="B21" s="12" t="s">
        <v>36</v>
      </c>
      <c r="AR21" s="12" t="s">
        <v>36</v>
      </c>
    </row>
    <row r="22" spans="1:48" x14ac:dyDescent="0.2">
      <c r="P22" s="12" t="s">
        <v>36</v>
      </c>
    </row>
    <row r="23" spans="1:48" x14ac:dyDescent="0.2">
      <c r="A23" s="31" t="s">
        <v>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 t="s">
        <v>0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 t="s">
        <v>0</v>
      </c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x14ac:dyDescent="0.2">
      <c r="A24" s="31" t="str">
        <f>Year1-1&amp;" Low-Income Monthly EES Deferral"</f>
        <v>2024 Low-Income Monthly EES Deferral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 t="str">
        <f>Year1&amp;" Low-Income Monthly EES Deferral"</f>
        <v>2025 Low-Income Monthly EES Deferral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 t="str">
        <f>Year2&amp;" Low-Income Monthly EES Deferral"</f>
        <v>2026 Low-Income Monthly EES Deferral</v>
      </c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x14ac:dyDescent="0.2">
      <c r="A25" s="31" t="s">
        <v>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 t="s">
        <v>1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 t="s">
        <v>1</v>
      </c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x14ac:dyDescent="0.2">
      <c r="A26" s="33"/>
      <c r="B26" s="32"/>
      <c r="C26" s="48" t="s">
        <v>8</v>
      </c>
      <c r="D26" s="70" t="s">
        <v>9</v>
      </c>
      <c r="E26" s="48" t="s">
        <v>10</v>
      </c>
      <c r="F26" s="50" t="s">
        <v>54</v>
      </c>
      <c r="G26" s="51" t="s">
        <v>55</v>
      </c>
      <c r="H26" s="50" t="s">
        <v>56</v>
      </c>
      <c r="I26" s="50" t="s">
        <v>57</v>
      </c>
      <c r="J26" s="50" t="s">
        <v>58</v>
      </c>
      <c r="K26" s="50" t="s">
        <v>74</v>
      </c>
      <c r="L26" s="71" t="s">
        <v>75</v>
      </c>
      <c r="M26" s="71" t="s">
        <v>76</v>
      </c>
      <c r="N26" s="71" t="s">
        <v>77</v>
      </c>
      <c r="O26" s="71" t="s">
        <v>78</v>
      </c>
      <c r="P26" s="71" t="s">
        <v>79</v>
      </c>
      <c r="Q26" s="33"/>
      <c r="R26" s="32"/>
      <c r="S26" s="48" t="s">
        <v>8</v>
      </c>
      <c r="T26" s="70" t="s">
        <v>9</v>
      </c>
      <c r="U26" s="48" t="s">
        <v>10</v>
      </c>
      <c r="V26" s="50" t="s">
        <v>54</v>
      </c>
      <c r="W26" s="51" t="s">
        <v>55</v>
      </c>
      <c r="X26" s="50" t="s">
        <v>56</v>
      </c>
      <c r="Y26" s="50" t="s">
        <v>57</v>
      </c>
      <c r="Z26" s="50" t="s">
        <v>58</v>
      </c>
      <c r="AA26" s="50" t="s">
        <v>74</v>
      </c>
      <c r="AB26" s="71" t="s">
        <v>75</v>
      </c>
      <c r="AC26" s="71" t="s">
        <v>76</v>
      </c>
      <c r="AD26" s="71" t="s">
        <v>77</v>
      </c>
      <c r="AE26" s="71" t="s">
        <v>78</v>
      </c>
      <c r="AF26" s="71" t="s">
        <v>79</v>
      </c>
      <c r="AG26" s="33"/>
      <c r="AH26" s="32"/>
      <c r="AI26" s="48" t="s">
        <v>8</v>
      </c>
      <c r="AJ26" s="70" t="s">
        <v>9</v>
      </c>
      <c r="AK26" s="48" t="s">
        <v>10</v>
      </c>
      <c r="AL26" s="50" t="s">
        <v>54</v>
      </c>
      <c r="AM26" s="51" t="s">
        <v>55</v>
      </c>
      <c r="AN26" s="50" t="s">
        <v>56</v>
      </c>
      <c r="AO26" s="50" t="s">
        <v>57</v>
      </c>
      <c r="AP26" s="50" t="s">
        <v>58</v>
      </c>
      <c r="AQ26" s="50" t="s">
        <v>74</v>
      </c>
      <c r="AR26" s="71" t="s">
        <v>75</v>
      </c>
      <c r="AS26" s="71" t="s">
        <v>76</v>
      </c>
      <c r="AT26" s="71" t="s">
        <v>77</v>
      </c>
      <c r="AU26" s="71" t="s">
        <v>78</v>
      </c>
      <c r="AV26" s="71" t="s">
        <v>79</v>
      </c>
    </row>
    <row r="27" spans="1:48" x14ac:dyDescent="0.2">
      <c r="A27" s="35"/>
      <c r="C27" s="48" t="str">
        <f>Res!C27</f>
        <v>Actual</v>
      </c>
      <c r="D27" s="48" t="str">
        <f>Res!D27</f>
        <v>Actual</v>
      </c>
      <c r="E27" s="48" t="str">
        <f>Res!E27</f>
        <v>Actual</v>
      </c>
      <c r="F27" s="48" t="str">
        <f>Res!F27</f>
        <v>Actual</v>
      </c>
      <c r="G27" s="48" t="str">
        <f>Res!G27</f>
        <v>Actual</v>
      </c>
      <c r="H27" s="48" t="str">
        <f>Res!H27</f>
        <v>Actual</v>
      </c>
      <c r="I27" s="48" t="str">
        <f>Res!I27</f>
        <v>Actual</v>
      </c>
      <c r="J27" s="48" t="str">
        <f>Res!J27</f>
        <v>Actual</v>
      </c>
      <c r="K27" s="48" t="str">
        <f>Res!K27</f>
        <v>Actual</v>
      </c>
      <c r="L27" s="48" t="str">
        <f>Res!L27</f>
        <v>Actual</v>
      </c>
      <c r="M27" s="48" t="str">
        <f>Res!M27</f>
        <v>Actual</v>
      </c>
      <c r="N27" s="48" t="str">
        <f>Res!N27</f>
        <v>Actual</v>
      </c>
      <c r="O27" s="48" t="str">
        <f>Res!O27</f>
        <v>Actual</v>
      </c>
      <c r="Q27" s="35"/>
      <c r="S27" s="48" t="str">
        <f>Res!S27</f>
        <v>Actual</v>
      </c>
      <c r="T27" s="48" t="str">
        <f>Res!T27</f>
        <v>Actual</v>
      </c>
      <c r="U27" s="48" t="str">
        <f>Res!U27</f>
        <v>Actual</v>
      </c>
      <c r="V27" s="48" t="str">
        <f>Res!V27</f>
        <v>Actual</v>
      </c>
      <c r="W27" s="48" t="str">
        <f>Res!W27</f>
        <v>Actual</v>
      </c>
      <c r="X27" s="48" t="str">
        <f>Res!X27</f>
        <v>Actual</v>
      </c>
      <c r="Y27" s="48" t="str">
        <f>Res!Y27</f>
        <v>Actual</v>
      </c>
      <c r="Z27" s="48" t="str">
        <f>Res!Z27</f>
        <v>Actual</v>
      </c>
      <c r="AA27" s="48" t="str">
        <f>Res!AA27</f>
        <v>Actual</v>
      </c>
      <c r="AB27" s="48" t="str">
        <f>Res!AB27</f>
        <v>Actual</v>
      </c>
      <c r="AC27" s="48" t="str">
        <f>Res!AC27</f>
        <v>Planned</v>
      </c>
      <c r="AD27" s="48" t="str">
        <f>Res!AD27</f>
        <v>Planned</v>
      </c>
      <c r="AE27" s="48" t="str">
        <f>Res!AE27</f>
        <v>Planned</v>
      </c>
      <c r="AG27" s="35"/>
      <c r="AI27" s="48" t="str">
        <f>Res!AI27</f>
        <v>Planned</v>
      </c>
      <c r="AJ27" s="48" t="str">
        <f>Res!AJ27</f>
        <v>Planned</v>
      </c>
      <c r="AK27" s="48" t="str">
        <f>Res!AK27</f>
        <v>Planned</v>
      </c>
      <c r="AL27" s="48" t="str">
        <f>Res!AL27</f>
        <v>Planned</v>
      </c>
      <c r="AM27" s="48" t="str">
        <f>Res!AM27</f>
        <v>Planned</v>
      </c>
      <c r="AN27" s="48" t="str">
        <f>Res!AN27</f>
        <v>Planned</v>
      </c>
      <c r="AO27" s="48" t="str">
        <f>Res!AO27</f>
        <v>Planned</v>
      </c>
      <c r="AP27" s="48" t="str">
        <f>Res!AP27</f>
        <v>Planned</v>
      </c>
      <c r="AQ27" s="48" t="str">
        <f>Res!AQ27</f>
        <v>Planned</v>
      </c>
      <c r="AR27" s="48" t="str">
        <f>Res!AR27</f>
        <v>Planned</v>
      </c>
      <c r="AS27" s="48" t="str">
        <f>Res!AS27</f>
        <v>Planned</v>
      </c>
      <c r="AT27" s="48" t="str">
        <f>Res!AT27</f>
        <v>Planned</v>
      </c>
      <c r="AU27" s="48" t="str">
        <f>Res!AU27</f>
        <v>Planned</v>
      </c>
    </row>
    <row r="28" spans="1:48" ht="15" x14ac:dyDescent="0.35">
      <c r="A28" s="72" t="s">
        <v>2</v>
      </c>
      <c r="B28" s="73" t="s">
        <v>81</v>
      </c>
      <c r="C28" s="72">
        <f>D28-31</f>
        <v>45261</v>
      </c>
      <c r="D28" s="72">
        <f>DATE(Year1-1,1,1)</f>
        <v>45292</v>
      </c>
      <c r="E28" s="72">
        <f>D28+31</f>
        <v>45323</v>
      </c>
      <c r="F28" s="72">
        <f>E28+29</f>
        <v>45352</v>
      </c>
      <c r="G28" s="72">
        <f>F28+31</f>
        <v>45383</v>
      </c>
      <c r="H28" s="72">
        <f>G28+30</f>
        <v>45413</v>
      </c>
      <c r="I28" s="72">
        <f>H28+31</f>
        <v>45444</v>
      </c>
      <c r="J28" s="72">
        <f>I28+30</f>
        <v>45474</v>
      </c>
      <c r="K28" s="72">
        <f>J28+31</f>
        <v>45505</v>
      </c>
      <c r="L28" s="72">
        <f>K28+31</f>
        <v>45536</v>
      </c>
      <c r="M28" s="72">
        <f>L28+30</f>
        <v>45566</v>
      </c>
      <c r="N28" s="72">
        <f>M28+31</f>
        <v>45597</v>
      </c>
      <c r="O28" s="72">
        <f>N28+30</f>
        <v>45627</v>
      </c>
      <c r="P28" s="72" t="s">
        <v>46</v>
      </c>
      <c r="Q28" s="72" t="s">
        <v>2</v>
      </c>
      <c r="R28" s="73" t="s">
        <v>81</v>
      </c>
      <c r="S28" s="72">
        <f>T28-31</f>
        <v>45627</v>
      </c>
      <c r="T28" s="72">
        <f>DATE(Year1,1,1)</f>
        <v>45658</v>
      </c>
      <c r="U28" s="72">
        <f>T28+31</f>
        <v>45689</v>
      </c>
      <c r="V28" s="72">
        <f>U28+28</f>
        <v>45717</v>
      </c>
      <c r="W28" s="72">
        <f>V28+31</f>
        <v>45748</v>
      </c>
      <c r="X28" s="72">
        <f>W28+30</f>
        <v>45778</v>
      </c>
      <c r="Y28" s="72">
        <f>X28+31</f>
        <v>45809</v>
      </c>
      <c r="Z28" s="72">
        <f>Y28+30</f>
        <v>45839</v>
      </c>
      <c r="AA28" s="72">
        <f>Z28+31</f>
        <v>45870</v>
      </c>
      <c r="AB28" s="72">
        <f>AA28+31</f>
        <v>45901</v>
      </c>
      <c r="AC28" s="72">
        <f>AB28+30</f>
        <v>45931</v>
      </c>
      <c r="AD28" s="72">
        <f>AC28+31</f>
        <v>45962</v>
      </c>
      <c r="AE28" s="72">
        <f>AD28+30</f>
        <v>45992</v>
      </c>
      <c r="AF28" s="72" t="s">
        <v>46</v>
      </c>
      <c r="AG28" s="72" t="s">
        <v>2</v>
      </c>
      <c r="AH28" s="73" t="s">
        <v>81</v>
      </c>
      <c r="AI28" s="72">
        <f>AJ28-31</f>
        <v>45992</v>
      </c>
      <c r="AJ28" s="72">
        <f>DATE(Year2,1,1)</f>
        <v>46023</v>
      </c>
      <c r="AK28" s="72">
        <f>AJ28+31</f>
        <v>46054</v>
      </c>
      <c r="AL28" s="72">
        <f>AK28+29</f>
        <v>46083</v>
      </c>
      <c r="AM28" s="72">
        <f>AL28+31</f>
        <v>46114</v>
      </c>
      <c r="AN28" s="72">
        <f>AM28+30</f>
        <v>46144</v>
      </c>
      <c r="AO28" s="72">
        <f>AN28+31</f>
        <v>46175</v>
      </c>
      <c r="AP28" s="72">
        <f>AO28+30</f>
        <v>46205</v>
      </c>
      <c r="AQ28" s="72">
        <f>AP28+31</f>
        <v>46236</v>
      </c>
      <c r="AR28" s="72">
        <f>AQ28+31</f>
        <v>46267</v>
      </c>
      <c r="AS28" s="72">
        <f>AR28+30</f>
        <v>46297</v>
      </c>
      <c r="AT28" s="72">
        <f>AS28+31</f>
        <v>46328</v>
      </c>
      <c r="AU28" s="72">
        <f>AT28+30</f>
        <v>46358</v>
      </c>
      <c r="AV28" s="72" t="s">
        <v>46</v>
      </c>
    </row>
    <row r="29" spans="1:48" x14ac:dyDescent="0.2">
      <c r="A29" s="35"/>
      <c r="Q29" s="35"/>
      <c r="AG29" s="35"/>
    </row>
    <row r="30" spans="1:48" x14ac:dyDescent="0.2">
      <c r="A30" s="35">
        <f>Res!A30</f>
        <v>1</v>
      </c>
      <c r="B30" s="65" t="str">
        <f>Res!B30</f>
        <v>SBC Revenues</v>
      </c>
      <c r="C30" s="74"/>
      <c r="D30" s="75">
        <v>0</v>
      </c>
      <c r="E30" s="75">
        <v>-15.424198315058243</v>
      </c>
      <c r="F30" s="75">
        <v>-15.424198315058243</v>
      </c>
      <c r="G30" s="75">
        <v>-15.424198315058243</v>
      </c>
      <c r="H30" s="75">
        <v>-15.424198315058243</v>
      </c>
      <c r="I30" s="75">
        <v>-15.424198315058243</v>
      </c>
      <c r="J30" s="75">
        <v>-15.424198315058243</v>
      </c>
      <c r="K30" s="75">
        <v>-15.424198315058243</v>
      </c>
      <c r="L30" s="75">
        <v>-30.848396630116486</v>
      </c>
      <c r="M30" s="75">
        <v>-7.7120991575291216</v>
      </c>
      <c r="N30" s="75">
        <v>-15.424198315058243</v>
      </c>
      <c r="O30" s="75">
        <v>-25.515594690430049</v>
      </c>
      <c r="P30" s="75">
        <f t="shared" ref="P30:P36" si="0">SUM(D30:O30)</f>
        <v>-187.46967699854162</v>
      </c>
      <c r="Q30" s="35">
        <v>1</v>
      </c>
      <c r="R30" s="65" t="str">
        <f>Res!R30</f>
        <v>SBC Revenues</v>
      </c>
      <c r="S30" s="74"/>
      <c r="T30" s="75">
        <v>0</v>
      </c>
      <c r="U30" s="75">
        <v>-16.082431882789525</v>
      </c>
      <c r="V30" s="75">
        <v>-16.082431882789525</v>
      </c>
      <c r="W30" s="75">
        <v>-16.082431882789525</v>
      </c>
      <c r="X30" s="75">
        <v>-16.082431882789525</v>
      </c>
      <c r="Y30" s="75">
        <v>-16.082431882789525</v>
      </c>
      <c r="Z30" s="75">
        <v>-16.082431882789525</v>
      </c>
      <c r="AA30" s="75">
        <v>-17.135975672636199</v>
      </c>
      <c r="AB30" s="75">
        <v>-17.135975672636199</v>
      </c>
      <c r="AC30" s="75">
        <v>-17.13603653063031</v>
      </c>
      <c r="AD30" s="75">
        <v>-17.13603653063031</v>
      </c>
      <c r="AE30" s="75">
        <v>-34.27207306126062</v>
      </c>
      <c r="AF30" s="75">
        <f t="shared" ref="AF30:AF36" si="1">SUM(T30:AE30)</f>
        <v>-199.31068876453079</v>
      </c>
      <c r="AG30" s="35">
        <v>1</v>
      </c>
      <c r="AH30" s="65" t="str">
        <f>Res!AH30</f>
        <v>SBC Revenues</v>
      </c>
      <c r="AI30" s="74"/>
      <c r="AJ30" s="75">
        <v>0</v>
      </c>
      <c r="AK30" s="75">
        <v>-19.752206220988281</v>
      </c>
      <c r="AL30" s="75">
        <v>-19.752206220988281</v>
      </c>
      <c r="AM30" s="75">
        <v>-19.752206220988281</v>
      </c>
      <c r="AN30" s="75">
        <v>-19.752206220988281</v>
      </c>
      <c r="AO30" s="75">
        <v>-19.752206220988281</v>
      </c>
      <c r="AP30" s="75">
        <v>-19.752206220988281</v>
      </c>
      <c r="AQ30" s="75">
        <v>-19.752206220988281</v>
      </c>
      <c r="AR30" s="75">
        <v>-19.752206220988281</v>
      </c>
      <c r="AS30" s="75">
        <v>-19.752206220988281</v>
      </c>
      <c r="AT30" s="75">
        <v>-19.752206220988281</v>
      </c>
      <c r="AU30" s="75">
        <v>-39.504412441976562</v>
      </c>
      <c r="AV30" s="75">
        <f>SUM(AJ30:AU30)</f>
        <v>-237.02647465185939</v>
      </c>
    </row>
    <row r="31" spans="1:48" x14ac:dyDescent="0.2">
      <c r="A31" s="35">
        <f>Res!A31</f>
        <v>2</v>
      </c>
      <c r="B31" s="65" t="str">
        <f>Res!B31</f>
        <v>EES Revenues, 1/1/2024-6/30/2024</v>
      </c>
      <c r="C31" s="74"/>
      <c r="D31" s="75">
        <v>0</v>
      </c>
      <c r="E31" s="75">
        <v>196.38588444496094</v>
      </c>
      <c r="F31" s="75">
        <v>196.38588444496094</v>
      </c>
      <c r="G31" s="75">
        <v>196.38588444496094</v>
      </c>
      <c r="H31" s="75">
        <v>196.38588444496094</v>
      </c>
      <c r="I31" s="75">
        <v>196.38588444496094</v>
      </c>
      <c r="J31" s="75">
        <v>196.38588444496094</v>
      </c>
      <c r="K31" s="75"/>
      <c r="P31" s="75">
        <f t="shared" si="0"/>
        <v>1178.3153066697657</v>
      </c>
      <c r="Q31" s="35">
        <v>2</v>
      </c>
      <c r="R31" s="65" t="str">
        <f>Res!R31</f>
        <v>EES Revenues, 1/1/2025-6/30/2025</v>
      </c>
      <c r="S31" s="74"/>
      <c r="T31" s="75">
        <v>0</v>
      </c>
      <c r="U31" s="75">
        <v>-2120.705805489486</v>
      </c>
      <c r="V31" s="75">
        <v>-2120.705805489486</v>
      </c>
      <c r="W31" s="75">
        <v>-2120.705805489486</v>
      </c>
      <c r="X31" s="75">
        <v>-2120.705805489486</v>
      </c>
      <c r="Y31" s="75">
        <v>-2120.705805489486</v>
      </c>
      <c r="Z31" s="75">
        <v>-2120.705805489486</v>
      </c>
      <c r="AA31" s="75"/>
      <c r="AB31" s="75"/>
      <c r="AC31" s="75"/>
      <c r="AD31" s="75"/>
      <c r="AE31" s="75"/>
      <c r="AF31" s="75">
        <f t="shared" si="1"/>
        <v>-12724.234832936916</v>
      </c>
      <c r="AG31" s="35">
        <f t="shared" ref="AG31:AG36" si="2">AG30+1</f>
        <v>2</v>
      </c>
      <c r="AH31" s="65" t="str">
        <f>Res!AH31</f>
        <v>EES Revenues</v>
      </c>
      <c r="AI31" s="74"/>
      <c r="AJ31" s="75">
        <v>0</v>
      </c>
      <c r="AK31" s="75">
        <v>-2095.8206980728414</v>
      </c>
      <c r="AL31" s="75">
        <v>-2095.8206980728414</v>
      </c>
      <c r="AM31" s="75">
        <v>-2095.8206980728414</v>
      </c>
      <c r="AN31" s="75">
        <v>-2095.8206980728414</v>
      </c>
      <c r="AO31" s="75">
        <v>-2095.8206980728414</v>
      </c>
      <c r="AP31" s="75">
        <v>-2095.8206980728414</v>
      </c>
      <c r="AQ31" s="75">
        <v>-2095.8206980728414</v>
      </c>
      <c r="AR31" s="75">
        <v>-2095.8206980728414</v>
      </c>
      <c r="AS31" s="75">
        <v>-2095.8206980728414</v>
      </c>
      <c r="AT31" s="75">
        <v>-2095.8206980728414</v>
      </c>
      <c r="AU31" s="75">
        <v>-4191.6413961456828</v>
      </c>
      <c r="AV31" s="75">
        <f>SUM(AJ31:AU31)</f>
        <v>-25149.848376874099</v>
      </c>
    </row>
    <row r="32" spans="1:48" x14ac:dyDescent="0.2">
      <c r="A32" s="35">
        <f>Res!A32</f>
        <v>3</v>
      </c>
      <c r="B32" s="65" t="str">
        <f>Res!B32</f>
        <v>EES Revenues, 7/1/2024-12/31/2024</v>
      </c>
      <c r="C32" s="74"/>
      <c r="D32" s="75"/>
      <c r="E32" s="75"/>
      <c r="F32" s="75"/>
      <c r="G32" s="75"/>
      <c r="H32" s="75"/>
      <c r="I32" s="75"/>
      <c r="J32" s="75"/>
      <c r="K32" s="75">
        <v>-1558.9753840635888</v>
      </c>
      <c r="L32" s="75">
        <v>-5958.0390632507888</v>
      </c>
      <c r="M32" s="75">
        <v>-1527.0321447167196</v>
      </c>
      <c r="N32" s="75">
        <v>-3054.0642894334392</v>
      </c>
      <c r="O32" s="75">
        <v>-5515.2757541429901</v>
      </c>
      <c r="P32" s="75">
        <f t="shared" si="0"/>
        <v>-17613.386635607527</v>
      </c>
      <c r="Q32" s="35">
        <v>3</v>
      </c>
      <c r="R32" s="65" t="str">
        <f>Res!R32</f>
        <v>EES Revenues, 7/1/2025-12/31/2025</v>
      </c>
      <c r="S32" s="74"/>
      <c r="T32" s="75"/>
      <c r="U32" s="75"/>
      <c r="V32" s="75"/>
      <c r="W32" s="75"/>
      <c r="X32" s="75"/>
      <c r="Y32" s="75"/>
      <c r="Z32" s="75"/>
      <c r="AA32" s="75">
        <v>-2436.1273334413468</v>
      </c>
      <c r="AB32" s="75">
        <v>-2436.1273334413468</v>
      </c>
      <c r="AC32" s="75">
        <v>-2436.1274289415232</v>
      </c>
      <c r="AD32" s="75">
        <v>-2436.1274289415232</v>
      </c>
      <c r="AE32" s="75">
        <v>-4872.2548578830465</v>
      </c>
      <c r="AF32" s="75">
        <f>SUM(T32:AE32)</f>
        <v>-14616.764382648787</v>
      </c>
      <c r="AG32" s="35"/>
      <c r="AH32" s="65"/>
      <c r="AI32" s="74"/>
      <c r="AJ32" s="75"/>
      <c r="AK32" s="75"/>
      <c r="AL32" s="75"/>
      <c r="AM32" s="75"/>
      <c r="AN32" s="75"/>
      <c r="AO32" s="75"/>
      <c r="AP32" s="75"/>
      <c r="AV32" s="75"/>
    </row>
    <row r="33" spans="1:48" x14ac:dyDescent="0.2">
      <c r="A33" s="35">
        <f>Res!A33</f>
        <v>4</v>
      </c>
      <c r="B33" s="65" t="str">
        <f>Res!B33</f>
        <v>FCM Revenues*</v>
      </c>
      <c r="C33" s="74"/>
      <c r="D33" s="75">
        <v>-2.8911210874641338</v>
      </c>
      <c r="E33" s="75">
        <v>-4.7626914232990751</v>
      </c>
      <c r="F33" s="75">
        <v>-5.146569832094559</v>
      </c>
      <c r="G33" s="75">
        <v>-5.8246683208020729</v>
      </c>
      <c r="H33" s="75">
        <v>-4.4582512369803204</v>
      </c>
      <c r="I33" s="75">
        <v>-7.3438167537191932</v>
      </c>
      <c r="J33" s="75">
        <v>-9.3402850640165695</v>
      </c>
      <c r="K33" s="75">
        <v>-10.025956386689993</v>
      </c>
      <c r="L33" s="75">
        <v>-8.8825382692838168</v>
      </c>
      <c r="M33" s="75">
        <v>-9.2401351926940034</v>
      </c>
      <c r="N33" s="75">
        <v>-8.2307605933412962</v>
      </c>
      <c r="O33" s="75">
        <v>-14.336887259345461</v>
      </c>
      <c r="P33" s="75">
        <f t="shared" si="0"/>
        <v>-90.483681419730488</v>
      </c>
      <c r="Q33" s="35">
        <v>4</v>
      </c>
      <c r="R33" s="65" t="str">
        <f>Res!R33</f>
        <v>FCM Revenues*</v>
      </c>
      <c r="S33" s="74"/>
      <c r="T33" s="75">
        <v>-6.2912485768183668</v>
      </c>
      <c r="U33" s="75">
        <v>-9.4350898015419808</v>
      </c>
      <c r="V33" s="75">
        <v>-9.1898121446356367</v>
      </c>
      <c r="W33" s="75">
        <v>-8.7787180769824413</v>
      </c>
      <c r="X33" s="75">
        <v>-9.3390739095434157</v>
      </c>
      <c r="Y33" s="75">
        <v>-7.9097994053619409</v>
      </c>
      <c r="Z33" s="75">
        <v>-5.348620346626066</v>
      </c>
      <c r="AA33" s="75">
        <v>-5.5093781906996</v>
      </c>
      <c r="AB33" s="75">
        <v>-5.197767240952305</v>
      </c>
      <c r="AC33" s="75">
        <v>-4.391863799128866</v>
      </c>
      <c r="AD33" s="75">
        <v>-4.391863799128866</v>
      </c>
      <c r="AE33" s="75">
        <v>-4.391863799128866</v>
      </c>
      <c r="AF33" s="75">
        <f t="shared" si="1"/>
        <v>-80.175099090548372</v>
      </c>
      <c r="AG33" s="35">
        <f>AG31+1</f>
        <v>3</v>
      </c>
      <c r="AH33" s="65" t="str">
        <f>Res!AH33</f>
        <v>FCM Revenues*</v>
      </c>
      <c r="AI33" s="74"/>
      <c r="AJ33" s="75">
        <v>-3.9970739599151734</v>
      </c>
      <c r="AK33" s="75">
        <v>-3.9970739599151734</v>
      </c>
      <c r="AL33" s="75">
        <v>-3.9970739599151734</v>
      </c>
      <c r="AM33" s="75">
        <v>-3.9970739599151734</v>
      </c>
      <c r="AN33" s="75">
        <v>-3.9970739599151734</v>
      </c>
      <c r="AO33" s="75">
        <v>-3.9970739599151734</v>
      </c>
      <c r="AP33" s="75">
        <v>-3.9970739599151734</v>
      </c>
      <c r="AQ33" s="75">
        <v>-3.9970739599151734</v>
      </c>
      <c r="AR33" s="75">
        <v>-3.9970739599151734</v>
      </c>
      <c r="AS33" s="75">
        <v>-3.9970739599151734</v>
      </c>
      <c r="AT33" s="75">
        <v>-3.9970739599151734</v>
      </c>
      <c r="AU33" s="75">
        <v>-3.9970739599151734</v>
      </c>
      <c r="AV33" s="75">
        <f>SUM(AJ33:AU33)</f>
        <v>-47.964887518982067</v>
      </c>
    </row>
    <row r="34" spans="1:48" x14ac:dyDescent="0.2">
      <c r="A34" s="35">
        <f>Res!A34</f>
        <v>5</v>
      </c>
      <c r="B34" s="65" t="str">
        <f>Res!B34</f>
        <v>RGGI Revenues**</v>
      </c>
      <c r="C34" s="74"/>
      <c r="D34" s="75">
        <v>-62.294604517737469</v>
      </c>
      <c r="E34" s="75">
        <v>0</v>
      </c>
      <c r="F34" s="75">
        <v>0</v>
      </c>
      <c r="G34" s="75">
        <v>-79.282644904919636</v>
      </c>
      <c r="H34" s="75">
        <v>0</v>
      </c>
      <c r="I34" s="75">
        <v>-113.62064900002281</v>
      </c>
      <c r="J34" s="75">
        <v>0</v>
      </c>
      <c r="K34" s="75">
        <v>0</v>
      </c>
      <c r="L34" s="75">
        <v>0</v>
      </c>
      <c r="M34" s="75">
        <v>0</v>
      </c>
      <c r="N34" s="75">
        <v>-94.206003641729311</v>
      </c>
      <c r="O34" s="75">
        <v>0</v>
      </c>
      <c r="P34" s="75">
        <f t="shared" si="0"/>
        <v>-349.40390206440924</v>
      </c>
      <c r="Q34" s="35">
        <v>5</v>
      </c>
      <c r="R34" s="65" t="str">
        <f>Res!R34</f>
        <v>RGGI Revenues**</v>
      </c>
      <c r="S34" s="74"/>
      <c r="T34" s="75">
        <v>0</v>
      </c>
      <c r="U34" s="75">
        <v>-271.49101278000001</v>
      </c>
      <c r="V34" s="75">
        <v>-236.65200666000001</v>
      </c>
      <c r="W34" s="75">
        <v>0</v>
      </c>
      <c r="X34" s="75">
        <v>-186.16716536999999</v>
      </c>
      <c r="Y34" s="75">
        <v>0</v>
      </c>
      <c r="Z34" s="75">
        <v>0</v>
      </c>
      <c r="AA34" s="75">
        <v>0</v>
      </c>
      <c r="AB34" s="75">
        <v>0</v>
      </c>
      <c r="AC34" s="75">
        <v>-323.27861999999999</v>
      </c>
      <c r="AD34" s="75">
        <v>0</v>
      </c>
      <c r="AE34" s="75">
        <v>0</v>
      </c>
      <c r="AF34" s="75">
        <f t="shared" si="1"/>
        <v>-1017.5888048100001</v>
      </c>
      <c r="AG34" s="35">
        <f t="shared" si="2"/>
        <v>4</v>
      </c>
      <c r="AH34" s="65" t="str">
        <f>Res!AH34</f>
        <v>RGGI Revenues**</v>
      </c>
      <c r="AI34" s="74"/>
      <c r="AJ34" s="75">
        <v>0</v>
      </c>
      <c r="AK34" s="75">
        <v>0</v>
      </c>
      <c r="AL34" s="75">
        <v>-128.08129152605534</v>
      </c>
      <c r="AM34" s="75">
        <v>0</v>
      </c>
      <c r="AN34" s="75">
        <v>0</v>
      </c>
      <c r="AO34" s="75">
        <v>-128.08129152605534</v>
      </c>
      <c r="AP34" s="75">
        <v>0</v>
      </c>
      <c r="AQ34" s="75">
        <v>0</v>
      </c>
      <c r="AR34" s="75">
        <v>-128.08129152605534</v>
      </c>
      <c r="AS34" s="75">
        <v>0</v>
      </c>
      <c r="AT34" s="75">
        <v>0</v>
      </c>
      <c r="AU34" s="75">
        <v>-128.08129152605534</v>
      </c>
      <c r="AV34" s="75">
        <f>SUM(AJ34:AU34)</f>
        <v>-512.32516610422135</v>
      </c>
    </row>
    <row r="35" spans="1:48" ht="15" x14ac:dyDescent="0.35">
      <c r="A35" s="35">
        <f>Res!A35</f>
        <v>6</v>
      </c>
      <c r="B35" s="65" t="str">
        <f>Res!B35</f>
        <v>Other Revenues***</v>
      </c>
      <c r="C35" s="74"/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-0.70979999999999999</v>
      </c>
      <c r="M35" s="76">
        <v>0</v>
      </c>
      <c r="N35" s="76">
        <v>0</v>
      </c>
      <c r="O35" s="76">
        <v>-0.71819999999999995</v>
      </c>
      <c r="P35" s="76">
        <f t="shared" si="0"/>
        <v>-1.4279999999999999</v>
      </c>
      <c r="Q35" s="35">
        <v>6</v>
      </c>
      <c r="R35" s="65" t="str">
        <f>Res!R35</f>
        <v>Other Revenues***</v>
      </c>
      <c r="S35" s="74"/>
      <c r="T35" s="76">
        <v>0</v>
      </c>
      <c r="U35" s="76">
        <v>0</v>
      </c>
      <c r="V35" s="76">
        <v>0</v>
      </c>
      <c r="W35" s="76">
        <v>-0.95399999999999996</v>
      </c>
      <c r="X35" s="76">
        <v>0</v>
      </c>
      <c r="Y35" s="76">
        <v>-0.74099999999999999</v>
      </c>
      <c r="Z35" s="76">
        <v>0</v>
      </c>
      <c r="AA35" s="76">
        <v>-1.216</v>
      </c>
      <c r="AB35" s="76">
        <v>0</v>
      </c>
      <c r="AC35" s="76">
        <v>0</v>
      </c>
      <c r="AD35" s="76">
        <v>0</v>
      </c>
      <c r="AE35" s="76">
        <v>-2.0645625000000001</v>
      </c>
      <c r="AF35" s="76">
        <f>SUM(T35:AE35)</f>
        <v>-4.9755624999999997</v>
      </c>
      <c r="AG35" s="35">
        <f t="shared" si="2"/>
        <v>5</v>
      </c>
      <c r="AH35" s="65" t="str">
        <f>Res!AH35</f>
        <v>Other Revenues***</v>
      </c>
      <c r="AI35" s="74"/>
      <c r="AJ35" s="76">
        <v>0</v>
      </c>
      <c r="AK35" s="76">
        <v>0</v>
      </c>
      <c r="AL35" s="76">
        <v>-2.0645625000000001</v>
      </c>
      <c r="AM35" s="76">
        <v>0</v>
      </c>
      <c r="AN35" s="76">
        <v>0</v>
      </c>
      <c r="AO35" s="76">
        <v>-2.0645625000000001</v>
      </c>
      <c r="AP35" s="76">
        <v>0</v>
      </c>
      <c r="AQ35" s="76">
        <v>0</v>
      </c>
      <c r="AR35" s="76">
        <v>-2.0645625000000001</v>
      </c>
      <c r="AS35" s="76">
        <v>0</v>
      </c>
      <c r="AT35" s="76">
        <v>0</v>
      </c>
      <c r="AU35" s="76">
        <v>-2.0645625000000001</v>
      </c>
      <c r="AV35" s="76">
        <f>SUM(AJ35:AU35)</f>
        <v>-8.2582500000000003</v>
      </c>
    </row>
    <row r="36" spans="1:48" x14ac:dyDescent="0.2">
      <c r="A36" s="35">
        <f>Res!A36</f>
        <v>7</v>
      </c>
      <c r="B36" s="65" t="str">
        <f>Res!B36</f>
        <v>Total Energy Efficiency Revenues</v>
      </c>
      <c r="C36" s="74"/>
      <c r="D36" s="75">
        <f t="shared" ref="D36:N36" si="3">SUM(D30:D35)</f>
        <v>-65.185725605201597</v>
      </c>
      <c r="E36" s="75">
        <f t="shared" si="3"/>
        <v>176.1989947066036</v>
      </c>
      <c r="F36" s="75">
        <f t="shared" si="3"/>
        <v>175.81511629780812</v>
      </c>
      <c r="G36" s="75">
        <f t="shared" si="3"/>
        <v>95.854372904180991</v>
      </c>
      <c r="H36" s="75">
        <f t="shared" si="3"/>
        <v>176.50343489292237</v>
      </c>
      <c r="I36" s="75">
        <f t="shared" si="3"/>
        <v>59.997220376160698</v>
      </c>
      <c r="J36" s="75">
        <f t="shared" si="3"/>
        <v>171.62140106588612</v>
      </c>
      <c r="K36" s="75">
        <f t="shared" si="3"/>
        <v>-1584.425538765337</v>
      </c>
      <c r="L36" s="75">
        <f t="shared" si="3"/>
        <v>-5998.4797981501888</v>
      </c>
      <c r="M36" s="75">
        <f t="shared" si="3"/>
        <v>-1543.9843790669427</v>
      </c>
      <c r="N36" s="75">
        <f t="shared" si="3"/>
        <v>-3171.9252519835677</v>
      </c>
      <c r="O36" s="75">
        <f>SUM(O30:O35)</f>
        <v>-5555.8464360927655</v>
      </c>
      <c r="P36" s="75">
        <f t="shared" si="0"/>
        <v>-17063.85658942044</v>
      </c>
      <c r="Q36" s="35">
        <v>7</v>
      </c>
      <c r="R36" s="65" t="str">
        <f>Res!R36</f>
        <v>Total Energy Efficiency Revenues</v>
      </c>
      <c r="S36" s="74"/>
      <c r="T36" s="75">
        <f t="shared" ref="T36:AD36" si="4">SUM(T30:T35)</f>
        <v>-6.2912485768183668</v>
      </c>
      <c r="U36" s="75">
        <f t="shared" si="4"/>
        <v>-2417.7143399538172</v>
      </c>
      <c r="V36" s="75">
        <f t="shared" si="4"/>
        <v>-2382.6300561769112</v>
      </c>
      <c r="W36" s="75">
        <f t="shared" si="4"/>
        <v>-2146.5209554492581</v>
      </c>
      <c r="X36" s="75">
        <f t="shared" si="4"/>
        <v>-2332.294476651819</v>
      </c>
      <c r="Y36" s="75">
        <f t="shared" si="4"/>
        <v>-2145.4390367776373</v>
      </c>
      <c r="Z36" s="75">
        <f t="shared" si="4"/>
        <v>-2142.1368577189014</v>
      </c>
      <c r="AA36" s="75">
        <f t="shared" si="4"/>
        <v>-2459.9886873046821</v>
      </c>
      <c r="AB36" s="75">
        <f t="shared" si="4"/>
        <v>-2458.4610763549349</v>
      </c>
      <c r="AC36" s="75">
        <f t="shared" si="4"/>
        <v>-2780.9339492712825</v>
      </c>
      <c r="AD36" s="75">
        <f t="shared" si="4"/>
        <v>-2457.6553292712824</v>
      </c>
      <c r="AE36" s="75">
        <f>SUM(AE30:AE35)</f>
        <v>-4912.9833572434363</v>
      </c>
      <c r="AF36" s="75">
        <f t="shared" si="1"/>
        <v>-28643.049370750781</v>
      </c>
      <c r="AG36" s="35">
        <f t="shared" si="2"/>
        <v>6</v>
      </c>
      <c r="AH36" s="65" t="str">
        <f>Res!AH36</f>
        <v>Total Energy Efficiency Revenues</v>
      </c>
      <c r="AI36" s="74"/>
      <c r="AJ36" s="75">
        <f t="shared" ref="AJ36:AU36" si="5">SUM(AJ30:AJ35)</f>
        <v>-3.9970739599151734</v>
      </c>
      <c r="AK36" s="75">
        <f t="shared" si="5"/>
        <v>-2119.5699782537449</v>
      </c>
      <c r="AL36" s="75">
        <f t="shared" si="5"/>
        <v>-2249.7158322798005</v>
      </c>
      <c r="AM36" s="75">
        <f t="shared" si="5"/>
        <v>-2119.5699782537449</v>
      </c>
      <c r="AN36" s="75">
        <f t="shared" si="5"/>
        <v>-2119.5699782537449</v>
      </c>
      <c r="AO36" s="75">
        <f t="shared" si="5"/>
        <v>-2249.7158322798005</v>
      </c>
      <c r="AP36" s="75">
        <f t="shared" si="5"/>
        <v>-2119.5699782537449</v>
      </c>
      <c r="AQ36" s="75">
        <f t="shared" si="5"/>
        <v>-2119.5699782537449</v>
      </c>
      <c r="AR36" s="75">
        <f t="shared" si="5"/>
        <v>-2249.7158322798005</v>
      </c>
      <c r="AS36" s="75">
        <f t="shared" si="5"/>
        <v>-2119.5699782537449</v>
      </c>
      <c r="AT36" s="75">
        <f t="shared" si="5"/>
        <v>-2119.5699782537449</v>
      </c>
      <c r="AU36" s="75">
        <f t="shared" si="5"/>
        <v>-4365.2887365736296</v>
      </c>
      <c r="AV36" s="75">
        <f>SUM(AJ36:AU36)</f>
        <v>-25955.423155149161</v>
      </c>
    </row>
    <row r="37" spans="1:48" x14ac:dyDescent="0.2">
      <c r="A37" s="35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35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35"/>
      <c r="AI37" s="74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</row>
    <row r="38" spans="1:48" x14ac:dyDescent="0.2">
      <c r="A38" s="35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35">
        <f>Res!Q38</f>
        <v>8</v>
      </c>
      <c r="R38" s="65" t="str">
        <f>Res!R38</f>
        <v>Energy Efficiency Expenditures - PA Models</v>
      </c>
      <c r="S38" s="74"/>
      <c r="T38" s="75">
        <f t="shared" ref="T38:AE38" si="6">T40-T39</f>
        <v>73.312561400531905</v>
      </c>
      <c r="U38" s="75">
        <f t="shared" si="6"/>
        <v>1247.6960403605494</v>
      </c>
      <c r="V38" s="75">
        <f t="shared" si="6"/>
        <v>1946.1266468631227</v>
      </c>
      <c r="W38" s="75">
        <f t="shared" si="6"/>
        <v>2177.6053197782057</v>
      </c>
      <c r="X38" s="75">
        <f t="shared" si="6"/>
        <v>2453.4403934524039</v>
      </c>
      <c r="Y38" s="75">
        <f t="shared" si="6"/>
        <v>92.852176559458272</v>
      </c>
      <c r="Z38" s="75">
        <f t="shared" si="6"/>
        <v>2629.1052643123057</v>
      </c>
      <c r="AA38" s="75">
        <f t="shared" si="6"/>
        <v>2670.5320064135253</v>
      </c>
      <c r="AB38" s="75">
        <f t="shared" si="6"/>
        <v>1208.7340696625611</v>
      </c>
      <c r="AC38" s="75">
        <f t="shared" si="6"/>
        <v>3220.8447564046155</v>
      </c>
      <c r="AD38" s="75">
        <f t="shared" si="6"/>
        <v>3220.8447564046155</v>
      </c>
      <c r="AE38" s="75">
        <f t="shared" si="6"/>
        <v>3220.8447564046155</v>
      </c>
      <c r="AF38" s="75">
        <f>SUM(T38:AE38)</f>
        <v>24161.93874801651</v>
      </c>
      <c r="AG38" s="35">
        <f>Res!AG38</f>
        <v>7</v>
      </c>
      <c r="AH38" s="65" t="str">
        <f>Res!AH38</f>
        <v>Energy Efficiency Expenditures - PA Models</v>
      </c>
      <c r="AI38" s="74"/>
      <c r="AJ38" s="75">
        <f t="shared" ref="AJ38:AU38" si="7">AJ40-AJ39</f>
        <v>2135.6230656478683</v>
      </c>
      <c r="AK38" s="75">
        <f t="shared" si="7"/>
        <v>2135.6230656478683</v>
      </c>
      <c r="AL38" s="75">
        <f t="shared" si="7"/>
        <v>2135.6230656478683</v>
      </c>
      <c r="AM38" s="75">
        <f t="shared" si="7"/>
        <v>2135.6230656478683</v>
      </c>
      <c r="AN38" s="75">
        <f t="shared" si="7"/>
        <v>2135.6230656478683</v>
      </c>
      <c r="AO38" s="75">
        <f t="shared" si="7"/>
        <v>2135.6230656478683</v>
      </c>
      <c r="AP38" s="75">
        <f t="shared" si="7"/>
        <v>2135.6230656478683</v>
      </c>
      <c r="AQ38" s="75">
        <f t="shared" si="7"/>
        <v>2135.6230656478683</v>
      </c>
      <c r="AR38" s="75">
        <f t="shared" si="7"/>
        <v>2135.6230656478683</v>
      </c>
      <c r="AS38" s="75">
        <f t="shared" si="7"/>
        <v>2135.6230656478683</v>
      </c>
      <c r="AT38" s="75">
        <f t="shared" si="7"/>
        <v>2135.6230656478683</v>
      </c>
      <c r="AU38" s="75">
        <f t="shared" si="7"/>
        <v>2135.6230656478683</v>
      </c>
      <c r="AV38" s="75">
        <f>SUM(AJ38:AU38)</f>
        <v>25627.476787774427</v>
      </c>
    </row>
    <row r="39" spans="1:48" ht="15" x14ac:dyDescent="0.35">
      <c r="A39" s="35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35">
        <f>Res!Q39</f>
        <v>9</v>
      </c>
      <c r="R39" s="65" t="str">
        <f>Res!R39</f>
        <v>Energy Efficiency Expenditures - Electrification Pool</v>
      </c>
      <c r="S39" s="74"/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76">
        <v>0</v>
      </c>
      <c r="AE39" s="76">
        <v>0</v>
      </c>
      <c r="AF39" s="76">
        <f>SUM(T39:AE39)</f>
        <v>0</v>
      </c>
      <c r="AG39" s="35">
        <f>Res!AG39</f>
        <v>8</v>
      </c>
      <c r="AH39" s="65" t="str">
        <f>Res!AH39</f>
        <v>Energy Efficiency Expenditures - Electrification Pool</v>
      </c>
      <c r="AI39" s="74"/>
      <c r="AJ39" s="76">
        <v>0</v>
      </c>
      <c r="AK39" s="76">
        <v>0</v>
      </c>
      <c r="AL39" s="76">
        <v>0</v>
      </c>
      <c r="AM39" s="76">
        <v>0</v>
      </c>
      <c r="AN39" s="76">
        <v>0</v>
      </c>
      <c r="AO39" s="76">
        <v>0</v>
      </c>
      <c r="AP39" s="76">
        <v>0</v>
      </c>
      <c r="AQ39" s="76">
        <v>0</v>
      </c>
      <c r="AR39" s="76">
        <v>0</v>
      </c>
      <c r="AS39" s="76">
        <v>0</v>
      </c>
      <c r="AT39" s="76">
        <v>0</v>
      </c>
      <c r="AU39" s="76">
        <v>0</v>
      </c>
      <c r="AV39" s="76">
        <f>SUM(AJ39:AU39)</f>
        <v>0</v>
      </c>
    </row>
    <row r="40" spans="1:48" x14ac:dyDescent="0.2">
      <c r="A40" s="35">
        <f>Res!A40</f>
        <v>8</v>
      </c>
      <c r="B40" s="65" t="str">
        <f>Res!B40</f>
        <v>Total Energy Efficiency Expenses</v>
      </c>
      <c r="C40" s="74"/>
      <c r="D40" s="75">
        <v>6.2999880840954177</v>
      </c>
      <c r="E40" s="75">
        <v>450.45012138134916</v>
      </c>
      <c r="F40" s="75">
        <v>2215.5228708670834</v>
      </c>
      <c r="G40" s="75">
        <v>885.00651164947942</v>
      </c>
      <c r="H40" s="75">
        <v>1834.5809247190221</v>
      </c>
      <c r="I40" s="75">
        <v>888.73667226703049</v>
      </c>
      <c r="J40" s="75">
        <v>3038.7620781618211</v>
      </c>
      <c r="K40" s="75">
        <v>177.25234446746151</v>
      </c>
      <c r="L40" s="75">
        <v>234.96052444174563</v>
      </c>
      <c r="M40" s="75">
        <v>2891.2733687613427</v>
      </c>
      <c r="N40" s="75">
        <v>2311.5710947843995</v>
      </c>
      <c r="O40" s="75">
        <v>3575.4207642550409</v>
      </c>
      <c r="P40" s="75">
        <f>SUM(D40:O40)</f>
        <v>18509.837263839869</v>
      </c>
      <c r="Q40" s="35">
        <f>Res!Q40</f>
        <v>10</v>
      </c>
      <c r="R40" s="65" t="str">
        <f>Res!R40</f>
        <v>Total Energy Efficiency Expenses</v>
      </c>
      <c r="S40" s="74"/>
      <c r="T40" s="75">
        <v>73.312561400531905</v>
      </c>
      <c r="U40" s="75">
        <v>1247.6960403605494</v>
      </c>
      <c r="V40" s="75">
        <v>1946.1266468631227</v>
      </c>
      <c r="W40" s="75">
        <v>2177.6053197782057</v>
      </c>
      <c r="X40" s="75">
        <v>2453.4403934524039</v>
      </c>
      <c r="Y40" s="75">
        <v>92.852176559458272</v>
      </c>
      <c r="Z40" s="75">
        <v>2629.1052643123057</v>
      </c>
      <c r="AA40" s="75">
        <v>2670.5320064135253</v>
      </c>
      <c r="AB40" s="75">
        <v>1208.7340696625611</v>
      </c>
      <c r="AC40" s="75">
        <v>3220.8447564046155</v>
      </c>
      <c r="AD40" s="75">
        <v>3220.8447564046155</v>
      </c>
      <c r="AE40" s="75">
        <v>3220.8447564046155</v>
      </c>
      <c r="AF40" s="75">
        <f>SUM(T40:AE40)</f>
        <v>24161.93874801651</v>
      </c>
      <c r="AG40" s="35">
        <f>Res!AG40</f>
        <v>9</v>
      </c>
      <c r="AH40" s="65" t="str">
        <f>Res!AH40</f>
        <v>Total Energy Efficiency Expenses</v>
      </c>
      <c r="AI40" s="74"/>
      <c r="AJ40" s="75">
        <v>2135.6230656478683</v>
      </c>
      <c r="AK40" s="75">
        <v>2135.6230656478683</v>
      </c>
      <c r="AL40" s="75">
        <v>2135.6230656478683</v>
      </c>
      <c r="AM40" s="75">
        <v>2135.6230656478683</v>
      </c>
      <c r="AN40" s="75">
        <v>2135.6230656478683</v>
      </c>
      <c r="AO40" s="75">
        <v>2135.6230656478683</v>
      </c>
      <c r="AP40" s="75">
        <v>2135.6230656478683</v>
      </c>
      <c r="AQ40" s="75">
        <v>2135.6230656478683</v>
      </c>
      <c r="AR40" s="75">
        <v>2135.6230656478683</v>
      </c>
      <c r="AS40" s="75">
        <v>2135.6230656478683</v>
      </c>
      <c r="AT40" s="75">
        <v>2135.6230656478683</v>
      </c>
      <c r="AU40" s="75">
        <v>2135.6230656478683</v>
      </c>
      <c r="AV40" s="75">
        <f>SUM(AJ40:AU40)</f>
        <v>25627.476787774427</v>
      </c>
    </row>
    <row r="41" spans="1:48" x14ac:dyDescent="0.2">
      <c r="A41" s="35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35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35"/>
      <c r="AI41" s="74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</row>
    <row r="42" spans="1:48" ht="15" x14ac:dyDescent="0.35">
      <c r="A42" s="35">
        <f>Res!A42</f>
        <v>9</v>
      </c>
      <c r="B42" s="65" t="str">
        <f>Res!B42</f>
        <v>Deferral (Over)/Under Recovery</v>
      </c>
      <c r="C42" s="75"/>
      <c r="D42" s="75">
        <f t="shared" ref="D42:O42" si="8">D36+D40</f>
        <v>-58.885737521106179</v>
      </c>
      <c r="E42" s="75">
        <f t="shared" si="8"/>
        <v>626.64911608795273</v>
      </c>
      <c r="F42" s="75">
        <f t="shared" si="8"/>
        <v>2391.3379871648913</v>
      </c>
      <c r="G42" s="75">
        <f t="shared" si="8"/>
        <v>980.86088455366041</v>
      </c>
      <c r="H42" s="75">
        <f t="shared" si="8"/>
        <v>2011.0843596119444</v>
      </c>
      <c r="I42" s="75">
        <f t="shared" si="8"/>
        <v>948.73389264319121</v>
      </c>
      <c r="J42" s="75">
        <f t="shared" si="8"/>
        <v>3210.3834792277071</v>
      </c>
      <c r="K42" s="75">
        <f t="shared" si="8"/>
        <v>-1407.1731942978754</v>
      </c>
      <c r="L42" s="75">
        <f t="shared" si="8"/>
        <v>-5763.5192737084435</v>
      </c>
      <c r="M42" s="75">
        <f t="shared" si="8"/>
        <v>1347.2889896944</v>
      </c>
      <c r="N42" s="75">
        <f t="shared" si="8"/>
        <v>-860.35415719916818</v>
      </c>
      <c r="O42" s="75">
        <f t="shared" si="8"/>
        <v>-1980.4256718377246</v>
      </c>
      <c r="P42" s="76"/>
      <c r="Q42" s="35">
        <f>Res!Q42</f>
        <v>11</v>
      </c>
      <c r="R42" s="65" t="str">
        <f>Res!R42</f>
        <v>Deferral (Over)/Under Recovery</v>
      </c>
      <c r="S42" s="75"/>
      <c r="T42" s="75">
        <f t="shared" ref="T42:AE42" si="9">T36+T40</f>
        <v>67.021312823713544</v>
      </c>
      <c r="U42" s="75">
        <f t="shared" si="9"/>
        <v>-1170.0182995932678</v>
      </c>
      <c r="V42" s="75">
        <f t="shared" si="9"/>
        <v>-436.50340931378855</v>
      </c>
      <c r="W42" s="75">
        <f t="shared" si="9"/>
        <v>31.084364328947686</v>
      </c>
      <c r="X42" s="75">
        <f t="shared" si="9"/>
        <v>121.14591680058493</v>
      </c>
      <c r="Y42" s="75">
        <f t="shared" si="9"/>
        <v>-2052.586860218179</v>
      </c>
      <c r="Z42" s="75">
        <f t="shared" si="9"/>
        <v>486.96840659340432</v>
      </c>
      <c r="AA42" s="75">
        <f t="shared" si="9"/>
        <v>210.54331910884321</v>
      </c>
      <c r="AB42" s="75">
        <f t="shared" si="9"/>
        <v>-1249.7270066923738</v>
      </c>
      <c r="AC42" s="75">
        <f t="shared" si="9"/>
        <v>439.91080713333304</v>
      </c>
      <c r="AD42" s="75">
        <f t="shared" si="9"/>
        <v>763.18942713333308</v>
      </c>
      <c r="AE42" s="75">
        <f t="shared" si="9"/>
        <v>-1692.1386008388208</v>
      </c>
      <c r="AF42" s="76"/>
      <c r="AG42" s="35">
        <f>Res!AG42</f>
        <v>10</v>
      </c>
      <c r="AH42" s="65" t="str">
        <f>Res!AH42</f>
        <v>Deferral (Over)/Under Recovery</v>
      </c>
      <c r="AI42" s="75"/>
      <c r="AJ42" s="75">
        <f t="shared" ref="AJ42:AU42" si="10">AJ36+AJ40</f>
        <v>2131.625991687953</v>
      </c>
      <c r="AK42" s="75">
        <f t="shared" si="10"/>
        <v>16.053087394123395</v>
      </c>
      <c r="AL42" s="75">
        <f t="shared" si="10"/>
        <v>-114.09276663193214</v>
      </c>
      <c r="AM42" s="75">
        <f t="shared" si="10"/>
        <v>16.053087394123395</v>
      </c>
      <c r="AN42" s="75">
        <f t="shared" si="10"/>
        <v>16.053087394123395</v>
      </c>
      <c r="AO42" s="75">
        <f t="shared" si="10"/>
        <v>-114.09276663193214</v>
      </c>
      <c r="AP42" s="75">
        <f t="shared" si="10"/>
        <v>16.053087394123395</v>
      </c>
      <c r="AQ42" s="75">
        <f t="shared" si="10"/>
        <v>16.053087394123395</v>
      </c>
      <c r="AR42" s="75">
        <f t="shared" si="10"/>
        <v>-114.09276663193214</v>
      </c>
      <c r="AS42" s="75">
        <f t="shared" si="10"/>
        <v>16.053087394123395</v>
      </c>
      <c r="AT42" s="75">
        <f t="shared" si="10"/>
        <v>16.053087394123395</v>
      </c>
      <c r="AU42" s="75">
        <f t="shared" si="10"/>
        <v>-2229.6656709257613</v>
      </c>
      <c r="AV42" s="76"/>
    </row>
    <row r="43" spans="1:48" ht="15" x14ac:dyDescent="0.35">
      <c r="A43" s="35">
        <f>Res!A43</f>
        <v>10</v>
      </c>
      <c r="B43" s="65" t="str">
        <f>Res!B43</f>
        <v>Interest on Deferral Balance</v>
      </c>
      <c r="C43" s="74"/>
      <c r="D43" s="76">
        <v>-10.857912000000001</v>
      </c>
      <c r="E43" s="76">
        <v>-7.927365</v>
      </c>
      <c r="F43" s="76">
        <v>-7.4314679999999997</v>
      </c>
      <c r="G43" s="76">
        <v>-6.2761630000000004</v>
      </c>
      <c r="H43" s="76">
        <v>-6.3651110000000006</v>
      </c>
      <c r="I43" s="76">
        <v>-6.0541480000000005</v>
      </c>
      <c r="J43" s="76">
        <v>-4.3472819999999999</v>
      </c>
      <c r="K43" s="76">
        <v>-3.4504680000000003</v>
      </c>
      <c r="L43" s="76">
        <v>-3.9737770000000006</v>
      </c>
      <c r="M43" s="76">
        <v>-3.9585240000000006</v>
      </c>
      <c r="N43" s="76">
        <v>-3.5754320000000006</v>
      </c>
      <c r="O43" s="76">
        <v>-2.4508550000000002</v>
      </c>
      <c r="P43" s="76">
        <f>SUM(D43:O43)</f>
        <v>-66.66850500000001</v>
      </c>
      <c r="Q43" s="35">
        <f>Res!Q43</f>
        <v>12</v>
      </c>
      <c r="R43" s="65" t="str">
        <f>Res!R43</f>
        <v>Interest on Deferral Balance</v>
      </c>
      <c r="S43" s="74"/>
      <c r="T43" s="76">
        <v>-7.9139119999999998</v>
      </c>
      <c r="U43" s="76">
        <v>-4.2490360000000003</v>
      </c>
      <c r="V43" s="76">
        <v>-5.3743739999999995</v>
      </c>
      <c r="W43" s="76">
        <v>-5.891852000000001</v>
      </c>
      <c r="X43" s="76">
        <v>-6.6291090000000006</v>
      </c>
      <c r="Y43" s="76">
        <v>-7.190518</v>
      </c>
      <c r="Z43" s="76">
        <v>-8.3754299999999997</v>
      </c>
      <c r="AA43" s="76">
        <v>-8.400660000000002</v>
      </c>
      <c r="AB43" s="76">
        <v>-6.5464230000000008</v>
      </c>
      <c r="AC43" s="76">
        <f>IF(AC27="Planned",(AB44+AC42/2)*AC45/12,"Update to Actuals")</f>
        <v>2.7882665240593085</v>
      </c>
      <c r="AD43" s="76">
        <f>IF(AD27="Planned",(AC44+AD42/2)*AD45/12,"Update to Actuals")</f>
        <v>4.5576350139895627</v>
      </c>
      <c r="AE43" s="76">
        <f>IF(AE27="Planned",(AD44+AE42/2)*AE45/12,"Update to Actuals")</f>
        <v>3.2111003827727651</v>
      </c>
      <c r="AF43" s="76">
        <f>SUM(T43:AE43)</f>
        <v>-50.014312079178367</v>
      </c>
      <c r="AG43" s="35">
        <f>Res!AG43</f>
        <v>11</v>
      </c>
      <c r="AH43" s="65" t="str">
        <f>Res!AH43</f>
        <v>Interest on Deferral Balance</v>
      </c>
      <c r="AI43" s="74"/>
      <c r="AJ43" s="76">
        <f t="shared" ref="AJ43:AU43" si="11">IF(AJ27="Planned",(AI44+AJ42/2)*AJ45/12,"Update to Actuals")</f>
        <v>3.8638624793864746</v>
      </c>
      <c r="AK43" s="76">
        <f t="shared" si="11"/>
        <v>7.0191385508573845</v>
      </c>
      <c r="AL43" s="76">
        <f t="shared" si="11"/>
        <v>6.896169831619269</v>
      </c>
      <c r="AM43" s="76">
        <f t="shared" si="11"/>
        <v>6.7728410872976061</v>
      </c>
      <c r="AN43" s="76">
        <f t="shared" si="11"/>
        <v>6.8396703334626565</v>
      </c>
      <c r="AO43" s="76">
        <f t="shared" si="11"/>
        <v>6.7161761711658343</v>
      </c>
      <c r="AP43" s="76">
        <f t="shared" si="11"/>
        <v>6.5923204454049555</v>
      </c>
      <c r="AQ43" s="76">
        <f t="shared" si="11"/>
        <v>6.658621167246241</v>
      </c>
      <c r="AR43" s="76">
        <f t="shared" si="11"/>
        <v>6.5345969332238854</v>
      </c>
      <c r="AS43" s="76">
        <f t="shared" si="11"/>
        <v>6.4102095838052549</v>
      </c>
      <c r="AT43" s="76">
        <f t="shared" si="11"/>
        <v>6.4759771255128564</v>
      </c>
      <c r="AU43" s="76">
        <f t="shared" si="11"/>
        <v>3.2544544820937396</v>
      </c>
      <c r="AV43" s="76">
        <f>SUM(AJ43:AU43)</f>
        <v>74.034038191076149</v>
      </c>
    </row>
    <row r="44" spans="1:48" ht="15" x14ac:dyDescent="0.35">
      <c r="A44" s="35">
        <f>Res!A44</f>
        <v>11</v>
      </c>
      <c r="B44" s="65" t="str">
        <f>Res!B44</f>
        <v>(Over)/Under Ending Balance</v>
      </c>
      <c r="C44" s="77">
        <v>3405.7250945776818</v>
      </c>
      <c r="D44" s="77">
        <f t="shared" ref="D44:O44" si="12">C44+D42+D43</f>
        <v>3335.9814450565759</v>
      </c>
      <c r="E44" s="77">
        <f t="shared" si="12"/>
        <v>3954.7031961445286</v>
      </c>
      <c r="F44" s="77">
        <f t="shared" si="12"/>
        <v>6338.6097153094206</v>
      </c>
      <c r="G44" s="77">
        <f t="shared" si="12"/>
        <v>7313.1944368630802</v>
      </c>
      <c r="H44" s="77">
        <f t="shared" si="12"/>
        <v>9317.913685475025</v>
      </c>
      <c r="I44" s="77">
        <f t="shared" si="12"/>
        <v>10260.593430118217</v>
      </c>
      <c r="J44" s="77">
        <f t="shared" si="12"/>
        <v>13466.629627345923</v>
      </c>
      <c r="K44" s="77">
        <f t="shared" si="12"/>
        <v>12056.005965048047</v>
      </c>
      <c r="L44" s="77">
        <f t="shared" si="12"/>
        <v>6288.5129143396034</v>
      </c>
      <c r="M44" s="77">
        <f t="shared" si="12"/>
        <v>7631.8433800340035</v>
      </c>
      <c r="N44" s="77">
        <f t="shared" si="12"/>
        <v>6767.9137908348357</v>
      </c>
      <c r="O44" s="77">
        <f t="shared" si="12"/>
        <v>4785.037263997111</v>
      </c>
      <c r="P44" s="77"/>
      <c r="Q44" s="35">
        <f>Res!Q44</f>
        <v>13</v>
      </c>
      <c r="R44" s="65" t="str">
        <f>Res!R44</f>
        <v>(Over)/Under Ending Balance</v>
      </c>
      <c r="S44" s="77">
        <f>O44</f>
        <v>4785.037263997111</v>
      </c>
      <c r="T44" s="77">
        <f t="shared" ref="T44:AD44" si="13">S44+T42+T43</f>
        <v>4844.1446648208248</v>
      </c>
      <c r="U44" s="77">
        <f t="shared" si="13"/>
        <v>3669.8773292275569</v>
      </c>
      <c r="V44" s="77">
        <f t="shared" si="13"/>
        <v>3227.9995459137681</v>
      </c>
      <c r="W44" s="77">
        <f t="shared" si="13"/>
        <v>3253.1920582427156</v>
      </c>
      <c r="X44" s="77">
        <f t="shared" si="13"/>
        <v>3367.7088660433005</v>
      </c>
      <c r="Y44" s="77">
        <f t="shared" si="13"/>
        <v>1307.9314878251214</v>
      </c>
      <c r="Z44" s="77">
        <f t="shared" si="13"/>
        <v>1786.5244644185257</v>
      </c>
      <c r="AA44" s="77">
        <f t="shared" si="13"/>
        <v>1988.6671235273689</v>
      </c>
      <c r="AB44" s="77">
        <f t="shared" si="13"/>
        <v>732.39369383499502</v>
      </c>
      <c r="AC44" s="77">
        <f t="shared" si="13"/>
        <v>1175.0927674923873</v>
      </c>
      <c r="AD44" s="77">
        <f t="shared" si="13"/>
        <v>1942.8398296397099</v>
      </c>
      <c r="AE44" s="77">
        <f>AD44+AE42+AE43</f>
        <v>253.91232918366188</v>
      </c>
      <c r="AF44" s="77"/>
      <c r="AG44" s="35">
        <f>Res!AG44</f>
        <v>12</v>
      </c>
      <c r="AH44" s="65" t="str">
        <f>Res!AH44</f>
        <v>(Over)/Under Ending Balance</v>
      </c>
      <c r="AI44" s="77">
        <f>AE44</f>
        <v>253.91232918366188</v>
      </c>
      <c r="AJ44" s="77">
        <f t="shared" ref="AJ44:AU44" si="14">AI44+AJ42+AJ43</f>
        <v>2389.4021833510014</v>
      </c>
      <c r="AK44" s="77">
        <f t="shared" si="14"/>
        <v>2412.4744092959822</v>
      </c>
      <c r="AL44" s="77">
        <f t="shared" si="14"/>
        <v>2305.2778124956694</v>
      </c>
      <c r="AM44" s="77">
        <f t="shared" si="14"/>
        <v>2328.1037409770906</v>
      </c>
      <c r="AN44" s="77">
        <f t="shared" si="14"/>
        <v>2350.9964987046765</v>
      </c>
      <c r="AO44" s="77">
        <f t="shared" si="14"/>
        <v>2243.6199082439102</v>
      </c>
      <c r="AP44" s="77">
        <f t="shared" si="14"/>
        <v>2266.2653160834384</v>
      </c>
      <c r="AQ44" s="77">
        <f t="shared" si="14"/>
        <v>2288.9770246448079</v>
      </c>
      <c r="AR44" s="77">
        <f t="shared" si="14"/>
        <v>2181.4188549460996</v>
      </c>
      <c r="AS44" s="77">
        <f>AR44+AS42+AS43</f>
        <v>2203.8821519240282</v>
      </c>
      <c r="AT44" s="77">
        <f>AS44+AT42+AT43</f>
        <v>2226.4112164436647</v>
      </c>
      <c r="AU44" s="77">
        <f t="shared" si="14"/>
        <v>-2.9225510900232621E-12</v>
      </c>
      <c r="AV44" s="77"/>
    </row>
    <row r="45" spans="1:48" x14ac:dyDescent="0.2">
      <c r="A45" s="35">
        <f>Res!A45</f>
        <v>12</v>
      </c>
      <c r="B45" s="65" t="str">
        <f>Res!B45</f>
        <v>Interest Rate Applied to Deferral Balance</v>
      </c>
      <c r="C45" s="78"/>
      <c r="D45" s="79">
        <f>Res!D45</f>
        <v>4.2900000000000001E-2</v>
      </c>
      <c r="E45" s="79">
        <f>Res!E45</f>
        <v>4.3299999999999998E-2</v>
      </c>
      <c r="F45" s="79">
        <f>Res!F45</f>
        <v>4.2500000000000003E-2</v>
      </c>
      <c r="G45" s="79">
        <f>Res!G45</f>
        <v>4.24E-2</v>
      </c>
      <c r="H45" s="79">
        <f>Res!H45</f>
        <v>4.0800000000000003E-2</v>
      </c>
      <c r="I45" s="79">
        <f>Res!I45</f>
        <v>4.53E-2</v>
      </c>
      <c r="J45" s="79">
        <f>Res!J45</f>
        <v>4.41E-2</v>
      </c>
      <c r="K45" s="79">
        <f>Res!K45</f>
        <v>3.9199999999999999E-2</v>
      </c>
      <c r="L45" s="79">
        <f>Res!L45</f>
        <v>4.2200000000000001E-2</v>
      </c>
      <c r="M45" s="79">
        <f>Res!M45</f>
        <v>4.1399999999999999E-2</v>
      </c>
      <c r="N45" s="79">
        <f>Res!N45</f>
        <v>3.78E-2</v>
      </c>
      <c r="O45" s="79">
        <f>Res!O45</f>
        <v>4.1300000000000003E-2</v>
      </c>
      <c r="P45" s="80"/>
      <c r="Q45" s="35">
        <f>Res!Q45</f>
        <v>14</v>
      </c>
      <c r="R45" s="65" t="str">
        <f>Res!R45</f>
        <v>Interest Rate Applied to Deferral Balance</v>
      </c>
      <c r="S45" s="78"/>
      <c r="T45" s="79">
        <f>Res!T45</f>
        <v>3.9600000000000003E-2</v>
      </c>
      <c r="U45" s="79">
        <f>Res!U45</f>
        <v>2.9600000000000001E-2</v>
      </c>
      <c r="V45" s="79">
        <f>Res!V45</f>
        <v>3.8100000000000002E-2</v>
      </c>
      <c r="W45" s="79">
        <f>Res!W45</f>
        <v>3.7199999999999997E-2</v>
      </c>
      <c r="X45" s="79">
        <f>Res!X45</f>
        <v>3.5700000000000003E-2</v>
      </c>
      <c r="Y45" s="79">
        <f>Res!Y45</f>
        <v>3.7100000000000001E-2</v>
      </c>
      <c r="Z45" s="79">
        <f>Res!Z45</f>
        <v>3.5200000000000002E-2</v>
      </c>
      <c r="AA45" s="79">
        <f>Res!AA45</f>
        <v>3.4099999999999998E-2</v>
      </c>
      <c r="AB45" s="79">
        <f>Res!AB45</f>
        <v>3.61E-2</v>
      </c>
      <c r="AC45" s="79">
        <f>Res!AC45</f>
        <v>3.5133333333333329E-2</v>
      </c>
      <c r="AD45" s="79">
        <f>Res!AD45</f>
        <v>3.5133333333333329E-2</v>
      </c>
      <c r="AE45" s="79">
        <f>Res!AE45</f>
        <v>3.5133333333333329E-2</v>
      </c>
      <c r="AF45" s="80"/>
      <c r="AG45" s="35">
        <f>Res!AG45</f>
        <v>13</v>
      </c>
      <c r="AH45" s="65" t="str">
        <f>Res!AH45</f>
        <v>Interest Rate Applied to Deferral Balance</v>
      </c>
      <c r="AI45" s="78"/>
      <c r="AJ45" s="79">
        <f>Res!AJ45</f>
        <v>3.5133333333333329E-2</v>
      </c>
      <c r="AK45" s="79">
        <f>Res!AK45</f>
        <v>3.5133333333333329E-2</v>
      </c>
      <c r="AL45" s="79">
        <f>Res!AL45</f>
        <v>3.5133333333333329E-2</v>
      </c>
      <c r="AM45" s="79">
        <f>Res!AM45</f>
        <v>3.5133333333333329E-2</v>
      </c>
      <c r="AN45" s="79">
        <f>Res!AN45</f>
        <v>3.5133333333333329E-2</v>
      </c>
      <c r="AO45" s="79">
        <f>Res!AO45</f>
        <v>3.5133333333333329E-2</v>
      </c>
      <c r="AP45" s="79">
        <f>Res!AP45</f>
        <v>3.5133333333333329E-2</v>
      </c>
      <c r="AQ45" s="79">
        <f>Res!AQ45</f>
        <v>3.5133333333333329E-2</v>
      </c>
      <c r="AR45" s="79">
        <f>Res!AR45</f>
        <v>3.5133333333333329E-2</v>
      </c>
      <c r="AS45" s="79">
        <f>Res!AS45</f>
        <v>3.5133333333333329E-2</v>
      </c>
      <c r="AT45" s="79">
        <f>Res!AT45</f>
        <v>3.5133333333333329E-2</v>
      </c>
      <c r="AU45" s="79">
        <f>Res!AU45</f>
        <v>3.5133333333333329E-2</v>
      </c>
      <c r="AV45" s="78"/>
    </row>
    <row r="46" spans="1:48" x14ac:dyDescent="0.2">
      <c r="A46" s="35"/>
      <c r="B46" s="81"/>
      <c r="C46" s="8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0"/>
      <c r="Q46" s="35"/>
      <c r="R46" s="81"/>
      <c r="S46" s="80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35"/>
      <c r="AH46" s="81"/>
      <c r="AI46" s="80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0"/>
    </row>
    <row r="47" spans="1:48" s="81" customFormat="1" x14ac:dyDescent="0.2">
      <c r="A47" s="35"/>
      <c r="B47" s="12" t="str">
        <f>Res!B47</f>
        <v>*Sector portion of revenues are allocated based on forecasted 2024 kWh sales.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 t="str">
        <f>Res!R47</f>
        <v>*Sector portion of revenues are allocated based on forecasted 2025 kWh sales.</v>
      </c>
      <c r="S47" s="80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0"/>
      <c r="AG47" s="35"/>
      <c r="AH47" s="12" t="str">
        <f>Res!AH47</f>
        <v>*Sector portion of revenues are allocated based on forecasted 2026 kWh sales.</v>
      </c>
      <c r="AI47" s="80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0"/>
    </row>
    <row r="48" spans="1:48" s="81" customFormat="1" x14ac:dyDescent="0.2">
      <c r="A48" s="35"/>
      <c r="B48" s="12" t="str">
        <f>Res!B48</f>
        <v>**Sector portion of revenues are allocated based on greenhouse gas reductions.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 t="str">
        <f>Res!R48</f>
        <v>**Sector portion of revenues are allocated based on greenhouse gas reductions.</v>
      </c>
      <c r="S48" s="80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0"/>
      <c r="AG48" s="35"/>
      <c r="AH48" s="12" t="str">
        <f>Res!AH48</f>
        <v>**Sector portion of revenues are allocated based on greenhouse gas reductions.</v>
      </c>
      <c r="AI48" s="80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0"/>
    </row>
    <row r="49" spans="1:48" s="81" customFormat="1" x14ac:dyDescent="0.2">
      <c r="A49" s="35"/>
      <c r="B49" s="12" t="str">
        <f>Res!B49</f>
        <v>***Other Revenue represents any RPS and APS credits associated with CVEO participants.</v>
      </c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0"/>
      <c r="Q49" s="35"/>
      <c r="R49" s="12" t="str">
        <f>Res!R49</f>
        <v>***Other Revenue represents any RPS and APS credits associated with CVEO participants.</v>
      </c>
      <c r="S49" s="80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0"/>
      <c r="AG49" s="35"/>
      <c r="AH49" s="12" t="str">
        <f>Res!AH49</f>
        <v>***Other Revenue represents any RPS and APS credits associated with CVEO participants.</v>
      </c>
      <c r="AI49" s="80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0"/>
    </row>
    <row r="50" spans="1:48" s="81" customFormat="1" x14ac:dyDescent="0.2">
      <c r="A50" s="35"/>
      <c r="B50" s="43"/>
      <c r="C50" s="12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12"/>
      <c r="Q50" s="35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68"/>
      <c r="AG50" s="35"/>
      <c r="AI50" s="80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0"/>
    </row>
  </sheetData>
  <mergeCells count="13">
    <mergeCell ref="A25:P25"/>
    <mergeCell ref="Q25:AF25"/>
    <mergeCell ref="AG25:AV25"/>
    <mergeCell ref="AG23:AV23"/>
    <mergeCell ref="A24:P24"/>
    <mergeCell ref="Q24:AF24"/>
    <mergeCell ref="AG24:AV24"/>
    <mergeCell ref="C1:J1"/>
    <mergeCell ref="C2:J2"/>
    <mergeCell ref="C3:J3"/>
    <mergeCell ref="R4:X4"/>
    <mergeCell ref="A23:P23"/>
    <mergeCell ref="Q23:AF23"/>
  </mergeCells>
  <pageMargins left="0.7" right="0.7" top="0.75" bottom="0.75" header="0.3" footer="0.3"/>
  <pageSetup scale="44" fitToWidth="5" orientation="landscape" r:id="rId1"/>
  <headerFooter>
    <oddHeader>&amp;R&amp;"Arial,Regular"&amp;10Cape Light Compact JPE
D.P.U. 25-154
Exhibit 2, EES Calculation
October 31, 2025
Page &amp;P of &amp;N</oddHeader>
  </headerFooter>
  <colBreaks count="2" manualBreakCount="2">
    <brk id="16" min="22" max="46" man="1"/>
    <brk id="32" min="22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C2FC-2952-4E65-B774-DC14AB3D51AE}">
  <sheetPr codeName="Sheet38"/>
  <dimension ref="A1:AX50"/>
  <sheetViews>
    <sheetView showGridLines="0" zoomScale="90" zoomScaleNormal="90" workbookViewId="0"/>
  </sheetViews>
  <sheetFormatPr defaultColWidth="9.140625" defaultRowHeight="12.75" x14ac:dyDescent="0.2"/>
  <cols>
    <col min="1" max="1" width="5.5703125" style="12" customWidth="1"/>
    <col min="2" max="2" width="46.28515625" style="12" customWidth="1"/>
    <col min="3" max="10" width="15" style="12" customWidth="1"/>
    <col min="11" max="11" width="16.28515625" style="12" customWidth="1"/>
    <col min="12" max="12" width="18.42578125" style="12" customWidth="1"/>
    <col min="13" max="13" width="18.5703125" style="12" customWidth="1"/>
    <col min="14" max="14" width="17" style="12" customWidth="1"/>
    <col min="15" max="15" width="15.5703125" style="12" customWidth="1"/>
    <col min="16" max="16" width="15" style="12" customWidth="1"/>
    <col min="17" max="17" width="5.5703125" style="12" customWidth="1"/>
    <col min="18" max="18" width="46.28515625" style="12" customWidth="1"/>
    <col min="19" max="26" width="15" style="12" customWidth="1"/>
    <col min="27" max="27" width="16.28515625" style="12" customWidth="1"/>
    <col min="28" max="28" width="18.42578125" style="12" customWidth="1"/>
    <col min="29" max="29" width="18.5703125" style="12" customWidth="1"/>
    <col min="30" max="30" width="17" style="12" customWidth="1"/>
    <col min="31" max="31" width="15.5703125" style="12" customWidth="1"/>
    <col min="32" max="32" width="15" style="12" customWidth="1"/>
    <col min="33" max="33" width="5.5703125" style="12" customWidth="1"/>
    <col min="34" max="34" width="46.28515625" style="12" customWidth="1"/>
    <col min="35" max="42" width="15" style="12" customWidth="1"/>
    <col min="43" max="43" width="16.28515625" style="12" customWidth="1"/>
    <col min="44" max="44" width="18.42578125" style="12" customWidth="1"/>
    <col min="45" max="45" width="18.5703125" style="12" customWidth="1"/>
    <col min="46" max="46" width="17" style="12" customWidth="1"/>
    <col min="47" max="47" width="15.5703125" style="12" customWidth="1"/>
    <col min="48" max="48" width="15" style="12" customWidth="1"/>
    <col min="49" max="16384" width="9.140625" style="12"/>
  </cols>
  <sheetData>
    <row r="1" spans="2:24" x14ac:dyDescent="0.2">
      <c r="C1" s="31" t="s">
        <v>0</v>
      </c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</row>
    <row r="2" spans="2:24" x14ac:dyDescent="0.2">
      <c r="C2" s="31" t="s">
        <v>118</v>
      </c>
      <c r="D2" s="31"/>
      <c r="E2" s="31"/>
      <c r="F2" s="31"/>
      <c r="G2" s="31"/>
      <c r="H2" s="31"/>
      <c r="I2" s="31"/>
      <c r="J2" s="31"/>
      <c r="K2" s="32"/>
      <c r="L2" s="32"/>
      <c r="M2" s="32"/>
      <c r="N2" s="32"/>
      <c r="O2" s="32"/>
    </row>
    <row r="3" spans="2:24" x14ac:dyDescent="0.2">
      <c r="C3" s="31" t="s">
        <v>1</v>
      </c>
      <c r="D3" s="31"/>
      <c r="E3" s="31"/>
      <c r="F3" s="31"/>
      <c r="G3" s="31"/>
      <c r="H3" s="31"/>
      <c r="I3" s="31"/>
      <c r="J3" s="31"/>
      <c r="K3" s="32"/>
      <c r="L3" s="32"/>
      <c r="M3" s="32"/>
      <c r="N3" s="32"/>
      <c r="O3" s="32"/>
    </row>
    <row r="4" spans="2:24" x14ac:dyDescent="0.2">
      <c r="C4" s="33"/>
      <c r="D4" s="33"/>
      <c r="E4" s="33"/>
      <c r="F4" s="33"/>
      <c r="G4" s="33"/>
      <c r="H4" s="33"/>
      <c r="I4" s="33"/>
      <c r="J4" s="33"/>
      <c r="K4" s="32"/>
      <c r="L4" s="32"/>
      <c r="M4" s="32"/>
      <c r="N4" s="32"/>
      <c r="O4" s="32"/>
      <c r="R4" s="34"/>
      <c r="S4" s="34"/>
      <c r="T4" s="34"/>
      <c r="U4" s="34"/>
      <c r="V4" s="34"/>
      <c r="W4" s="34"/>
      <c r="X4" s="34"/>
    </row>
    <row r="5" spans="2:24" x14ac:dyDescent="0.2">
      <c r="C5" s="35"/>
      <c r="D5" s="36"/>
      <c r="E5" s="37"/>
      <c r="F5" s="39" t="s">
        <v>38</v>
      </c>
      <c r="G5" s="37"/>
      <c r="H5" s="37"/>
      <c r="I5" s="36"/>
      <c r="J5" s="37" t="s">
        <v>103</v>
      </c>
      <c r="K5" s="32"/>
      <c r="L5" s="32"/>
      <c r="M5" s="32"/>
      <c r="N5" s="32"/>
      <c r="O5" s="32"/>
    </row>
    <row r="6" spans="2:24" x14ac:dyDescent="0.2">
      <c r="C6" s="39"/>
      <c r="D6" s="40" t="s">
        <v>40</v>
      </c>
      <c r="E6" s="39" t="s">
        <v>41</v>
      </c>
      <c r="F6" s="39" t="s">
        <v>42</v>
      </c>
      <c r="G6" s="41" t="s">
        <v>43</v>
      </c>
      <c r="H6" s="39" t="s">
        <v>44</v>
      </c>
      <c r="I6" s="40" t="s">
        <v>45</v>
      </c>
      <c r="J6" s="42" t="s">
        <v>46</v>
      </c>
      <c r="K6" s="32"/>
      <c r="L6" s="32"/>
      <c r="M6" s="32"/>
      <c r="N6" s="32"/>
      <c r="O6" s="32"/>
    </row>
    <row r="7" spans="2:24" ht="15" x14ac:dyDescent="0.35">
      <c r="C7" s="44" t="s">
        <v>47</v>
      </c>
      <c r="D7" s="45" t="s">
        <v>48</v>
      </c>
      <c r="E7" s="44" t="s">
        <v>49</v>
      </c>
      <c r="F7" s="44" t="s">
        <v>49</v>
      </c>
      <c r="G7" s="46" t="s">
        <v>50</v>
      </c>
      <c r="H7" s="44" t="s">
        <v>51</v>
      </c>
      <c r="I7" s="45" t="s">
        <v>52</v>
      </c>
      <c r="J7" s="47" t="s">
        <v>53</v>
      </c>
      <c r="K7" s="32"/>
      <c r="L7" s="32"/>
      <c r="M7" s="32"/>
      <c r="N7" s="32"/>
      <c r="O7" s="32"/>
    </row>
    <row r="8" spans="2:24" x14ac:dyDescent="0.2">
      <c r="C8" s="48" t="s">
        <v>8</v>
      </c>
      <c r="D8" s="49" t="s">
        <v>9</v>
      </c>
      <c r="E8" s="50" t="s">
        <v>10</v>
      </c>
      <c r="F8" s="51" t="s">
        <v>54</v>
      </c>
      <c r="G8" s="51" t="s">
        <v>55</v>
      </c>
      <c r="H8" s="50" t="s">
        <v>56</v>
      </c>
      <c r="I8" s="49" t="s">
        <v>57</v>
      </c>
      <c r="J8" s="50" t="s">
        <v>58</v>
      </c>
      <c r="K8" s="32"/>
      <c r="L8" s="32"/>
      <c r="M8" s="32"/>
      <c r="N8" s="32"/>
      <c r="O8" s="32"/>
    </row>
    <row r="9" spans="2:24" x14ac:dyDescent="0.2">
      <c r="C9" s="35"/>
      <c r="D9" s="36" t="s">
        <v>59</v>
      </c>
      <c r="E9" s="37" t="s">
        <v>60</v>
      </c>
      <c r="F9" s="52" t="s">
        <v>61</v>
      </c>
      <c r="G9" s="52"/>
      <c r="H9" s="37" t="s">
        <v>62</v>
      </c>
      <c r="I9" s="36" t="s">
        <v>63</v>
      </c>
      <c r="J9" s="37"/>
      <c r="K9" s="32"/>
      <c r="L9" s="32"/>
      <c r="M9" s="32"/>
      <c r="N9" s="32"/>
      <c r="O9" s="32"/>
    </row>
    <row r="10" spans="2:24" x14ac:dyDescent="0.2">
      <c r="B10" s="93"/>
      <c r="C10" s="35">
        <f>Year2</f>
        <v>2026</v>
      </c>
      <c r="D10" s="53">
        <f>AV40</f>
        <v>16182.729972081494</v>
      </c>
      <c r="E10" s="54">
        <f>($AV$30)</f>
        <v>-2010.4321952714613</v>
      </c>
      <c r="F10" s="55">
        <f>$AV$33+$AV$34+$AV$35</f>
        <v>-1657.3817780664119</v>
      </c>
      <c r="G10" s="55">
        <v>0</v>
      </c>
      <c r="H10" s="54">
        <f>$AE$44</f>
        <v>-3290.028996010406</v>
      </c>
      <c r="I10" s="53">
        <f>AV43</f>
        <v>-24.495465222083784</v>
      </c>
      <c r="J10" s="56">
        <f>SUM(D10:I10)</f>
        <v>9200.3915375111301</v>
      </c>
      <c r="K10" s="43"/>
      <c r="L10" s="32"/>
      <c r="M10" s="32"/>
      <c r="N10" s="32"/>
      <c r="O10" s="32"/>
    </row>
    <row r="11" spans="2:24" x14ac:dyDescent="0.2">
      <c r="D11" s="54"/>
      <c r="E11" s="54"/>
      <c r="F11" s="54"/>
      <c r="G11" s="54"/>
      <c r="H11" s="54"/>
      <c r="I11" s="94"/>
      <c r="J11" s="92"/>
      <c r="K11" s="32"/>
      <c r="L11" s="32"/>
      <c r="M11" s="32"/>
      <c r="N11" s="32"/>
      <c r="O11" s="32"/>
    </row>
    <row r="12" spans="2:24" x14ac:dyDescent="0.2">
      <c r="F12" s="63"/>
      <c r="G12" s="63"/>
      <c r="I12" s="92"/>
      <c r="K12" s="32"/>
      <c r="L12" s="32"/>
      <c r="M12" s="32"/>
      <c r="N12" s="32"/>
      <c r="O12" s="32"/>
    </row>
    <row r="13" spans="2:24" x14ac:dyDescent="0.2">
      <c r="C13" s="35" t="s">
        <v>64</v>
      </c>
      <c r="D13" s="12" t="str">
        <f>Res!D13</f>
        <v>Effective year (January 1, 2026 - December 31, 2026).</v>
      </c>
      <c r="F13" s="63"/>
      <c r="G13" s="63"/>
      <c r="H13" s="63"/>
      <c r="K13" s="32"/>
      <c r="L13" s="32"/>
      <c r="M13" s="32"/>
      <c r="N13" s="32"/>
      <c r="O13" s="32"/>
    </row>
    <row r="14" spans="2:24" x14ac:dyDescent="0.2">
      <c r="C14" s="35" t="s">
        <v>66</v>
      </c>
      <c r="D14" s="12" t="s">
        <v>119</v>
      </c>
      <c r="K14" s="35"/>
      <c r="M14" s="63"/>
      <c r="N14" s="63"/>
      <c r="O14" s="93"/>
    </row>
    <row r="15" spans="2:24" x14ac:dyDescent="0.2">
      <c r="C15" s="35" t="s">
        <v>67</v>
      </c>
      <c r="D15" s="12" t="s">
        <v>120</v>
      </c>
      <c r="G15" s="63"/>
      <c r="H15" s="63"/>
      <c r="K15" s="35"/>
      <c r="M15" s="12" t="s">
        <v>36</v>
      </c>
    </row>
    <row r="16" spans="2:24" x14ac:dyDescent="0.2">
      <c r="C16" s="35" t="s">
        <v>68</v>
      </c>
      <c r="D16" s="12" t="s">
        <v>121</v>
      </c>
      <c r="K16" s="35"/>
      <c r="P16" s="95"/>
    </row>
    <row r="17" spans="1:48" x14ac:dyDescent="0.2">
      <c r="C17" s="35" t="s">
        <v>69</v>
      </c>
      <c r="D17" s="65" t="s">
        <v>122</v>
      </c>
      <c r="K17" s="35"/>
      <c r="P17" s="95"/>
      <c r="AV17" s="12" t="s">
        <v>36</v>
      </c>
    </row>
    <row r="18" spans="1:48" x14ac:dyDescent="0.2">
      <c r="C18" s="35" t="s">
        <v>70</v>
      </c>
      <c r="D18" s="12" t="s">
        <v>123</v>
      </c>
      <c r="J18" s="12" t="s">
        <v>36</v>
      </c>
      <c r="K18" s="35"/>
    </row>
    <row r="19" spans="1:48" x14ac:dyDescent="0.2">
      <c r="C19" s="35" t="s">
        <v>71</v>
      </c>
      <c r="D19" s="12" t="s">
        <v>124</v>
      </c>
      <c r="K19" s="35"/>
    </row>
    <row r="20" spans="1:48" x14ac:dyDescent="0.2">
      <c r="B20" s="12" t="s">
        <v>36</v>
      </c>
      <c r="C20" s="35" t="s">
        <v>72</v>
      </c>
      <c r="D20" s="12" t="str">
        <f>Res!D20</f>
        <v>Col. B + Col. C + Col. D + Col. E + Col. F. + Col. G.</v>
      </c>
      <c r="K20" s="35"/>
      <c r="AV20" s="74"/>
    </row>
    <row r="21" spans="1:48" x14ac:dyDescent="0.2">
      <c r="AV21" s="68"/>
    </row>
    <row r="23" spans="1:48" x14ac:dyDescent="0.2">
      <c r="A23" s="31" t="s">
        <v>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 t="s">
        <v>0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 t="s">
        <v>0</v>
      </c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x14ac:dyDescent="0.2">
      <c r="A24" s="31" t="str">
        <f>Year1-1&amp;" Commercial &amp; Industrial Monthly EES Deferral"</f>
        <v>2024 Commercial &amp; Industrial Monthly EES Deferral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 t="str">
        <f>Year1&amp;" Commercial &amp; Industrial Monthly EES Deferral"</f>
        <v>2025 Commercial &amp; Industrial Monthly EES Deferral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 t="str">
        <f>Year2&amp;" Commercial &amp; Industrial Monthly EES Deferral"</f>
        <v>2026 Commercial &amp; Industrial Monthly EES Deferral</v>
      </c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x14ac:dyDescent="0.2">
      <c r="A25" s="31" t="s">
        <v>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 t="s">
        <v>1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 t="s">
        <v>1</v>
      </c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x14ac:dyDescent="0.2">
      <c r="A26" s="33"/>
      <c r="B26" s="32" t="s">
        <v>36</v>
      </c>
      <c r="C26" s="48" t="s">
        <v>8</v>
      </c>
      <c r="D26" s="70" t="s">
        <v>9</v>
      </c>
      <c r="E26" s="48" t="s">
        <v>10</v>
      </c>
      <c r="F26" s="50" t="s">
        <v>54</v>
      </c>
      <c r="G26" s="51" t="s">
        <v>55</v>
      </c>
      <c r="H26" s="50" t="s">
        <v>56</v>
      </c>
      <c r="I26" s="50" t="s">
        <v>57</v>
      </c>
      <c r="J26" s="50" t="s">
        <v>58</v>
      </c>
      <c r="K26" s="50" t="s">
        <v>74</v>
      </c>
      <c r="L26" s="71" t="s">
        <v>75</v>
      </c>
      <c r="M26" s="71" t="s">
        <v>76</v>
      </c>
      <c r="N26" s="71" t="s">
        <v>77</v>
      </c>
      <c r="O26" s="71" t="s">
        <v>78</v>
      </c>
      <c r="P26" s="71" t="s">
        <v>79</v>
      </c>
      <c r="Q26" s="33"/>
      <c r="R26" s="32"/>
      <c r="S26" s="48" t="s">
        <v>8</v>
      </c>
      <c r="T26" s="70" t="s">
        <v>9</v>
      </c>
      <c r="U26" s="48" t="s">
        <v>10</v>
      </c>
      <c r="V26" s="50" t="s">
        <v>54</v>
      </c>
      <c r="W26" s="51" t="s">
        <v>55</v>
      </c>
      <c r="X26" s="50" t="s">
        <v>56</v>
      </c>
      <c r="Y26" s="50" t="s">
        <v>57</v>
      </c>
      <c r="Z26" s="50" t="s">
        <v>58</v>
      </c>
      <c r="AA26" s="50" t="s">
        <v>74</v>
      </c>
      <c r="AB26" s="71" t="s">
        <v>75</v>
      </c>
      <c r="AC26" s="71" t="s">
        <v>76</v>
      </c>
      <c r="AD26" s="71" t="s">
        <v>77</v>
      </c>
      <c r="AE26" s="71" t="s">
        <v>78</v>
      </c>
      <c r="AF26" s="71" t="s">
        <v>79</v>
      </c>
      <c r="AG26" s="33"/>
      <c r="AH26" s="32"/>
      <c r="AI26" s="48" t="s">
        <v>8</v>
      </c>
      <c r="AJ26" s="70" t="s">
        <v>9</v>
      </c>
      <c r="AK26" s="48" t="s">
        <v>10</v>
      </c>
      <c r="AL26" s="50" t="s">
        <v>54</v>
      </c>
      <c r="AM26" s="51" t="s">
        <v>55</v>
      </c>
      <c r="AN26" s="50" t="s">
        <v>56</v>
      </c>
      <c r="AO26" s="50" t="s">
        <v>57</v>
      </c>
      <c r="AP26" s="50" t="s">
        <v>58</v>
      </c>
      <c r="AQ26" s="50" t="s">
        <v>74</v>
      </c>
      <c r="AR26" s="71" t="s">
        <v>75</v>
      </c>
      <c r="AS26" s="71" t="s">
        <v>76</v>
      </c>
      <c r="AT26" s="71" t="s">
        <v>77</v>
      </c>
      <c r="AU26" s="71" t="s">
        <v>78</v>
      </c>
      <c r="AV26" s="71" t="s">
        <v>79</v>
      </c>
    </row>
    <row r="27" spans="1:48" x14ac:dyDescent="0.2">
      <c r="A27" s="35"/>
      <c r="C27" s="48" t="str">
        <f>Res!C27</f>
        <v>Actual</v>
      </c>
      <c r="D27" s="48" t="str">
        <f>Res!D27</f>
        <v>Actual</v>
      </c>
      <c r="E27" s="48" t="str">
        <f>Res!E27</f>
        <v>Actual</v>
      </c>
      <c r="F27" s="48" t="str">
        <f>Res!F27</f>
        <v>Actual</v>
      </c>
      <c r="G27" s="48" t="str">
        <f>Res!G27</f>
        <v>Actual</v>
      </c>
      <c r="H27" s="48" t="str">
        <f>Res!H27</f>
        <v>Actual</v>
      </c>
      <c r="I27" s="48" t="str">
        <f>Res!I27</f>
        <v>Actual</v>
      </c>
      <c r="J27" s="48" t="str">
        <f>Res!J27</f>
        <v>Actual</v>
      </c>
      <c r="K27" s="48" t="str">
        <f>Res!K27</f>
        <v>Actual</v>
      </c>
      <c r="L27" s="48" t="str">
        <f>Res!L27</f>
        <v>Actual</v>
      </c>
      <c r="M27" s="48" t="str">
        <f>Res!M27</f>
        <v>Actual</v>
      </c>
      <c r="N27" s="48" t="str">
        <f>Res!N27</f>
        <v>Actual</v>
      </c>
      <c r="O27" s="48" t="str">
        <f>Res!O27</f>
        <v>Actual</v>
      </c>
      <c r="Q27" s="35"/>
      <c r="S27" s="48" t="str">
        <f>Res!S27</f>
        <v>Actual</v>
      </c>
      <c r="T27" s="48" t="str">
        <f>Res!T27</f>
        <v>Actual</v>
      </c>
      <c r="U27" s="48" t="str">
        <f>Res!U27</f>
        <v>Actual</v>
      </c>
      <c r="V27" s="48" t="str">
        <f>Res!V27</f>
        <v>Actual</v>
      </c>
      <c r="W27" s="48" t="str">
        <f>Res!W27</f>
        <v>Actual</v>
      </c>
      <c r="X27" s="48" t="str">
        <f>Res!X27</f>
        <v>Actual</v>
      </c>
      <c r="Y27" s="48" t="str">
        <f>Res!Y27</f>
        <v>Actual</v>
      </c>
      <c r="Z27" s="48" t="str">
        <f>Res!Z27</f>
        <v>Actual</v>
      </c>
      <c r="AA27" s="48" t="str">
        <f>Res!AA27</f>
        <v>Actual</v>
      </c>
      <c r="AB27" s="48" t="str">
        <f>Res!AB27</f>
        <v>Actual</v>
      </c>
      <c r="AC27" s="48" t="str">
        <f>Res!AC27</f>
        <v>Planned</v>
      </c>
      <c r="AD27" s="48" t="str">
        <f>Res!AD27</f>
        <v>Planned</v>
      </c>
      <c r="AE27" s="48" t="str">
        <f>Res!AE27</f>
        <v>Planned</v>
      </c>
      <c r="AG27" s="35"/>
      <c r="AI27" s="48" t="str">
        <f>Res!AI27</f>
        <v>Planned</v>
      </c>
      <c r="AJ27" s="48" t="str">
        <f>Res!AJ27</f>
        <v>Planned</v>
      </c>
      <c r="AK27" s="48" t="str">
        <f>Res!AK27</f>
        <v>Planned</v>
      </c>
      <c r="AL27" s="48" t="str">
        <f>Res!AL27</f>
        <v>Planned</v>
      </c>
      <c r="AM27" s="48" t="str">
        <f>Res!AM27</f>
        <v>Planned</v>
      </c>
      <c r="AN27" s="48" t="str">
        <f>Res!AN27</f>
        <v>Planned</v>
      </c>
      <c r="AO27" s="48" t="str">
        <f>Res!AO27</f>
        <v>Planned</v>
      </c>
      <c r="AP27" s="48" t="str">
        <f>Res!AP27</f>
        <v>Planned</v>
      </c>
      <c r="AQ27" s="48" t="str">
        <f>Res!AQ27</f>
        <v>Planned</v>
      </c>
      <c r="AR27" s="48" t="str">
        <f>Res!AR27</f>
        <v>Planned</v>
      </c>
      <c r="AS27" s="48" t="str">
        <f>Res!AS27</f>
        <v>Planned</v>
      </c>
      <c r="AT27" s="48" t="str">
        <f>Res!AT27</f>
        <v>Planned</v>
      </c>
      <c r="AU27" s="48" t="str">
        <f>Res!AU27</f>
        <v>Planned</v>
      </c>
    </row>
    <row r="28" spans="1:48" ht="15" x14ac:dyDescent="0.35">
      <c r="A28" s="72" t="s">
        <v>2</v>
      </c>
      <c r="B28" s="73" t="s">
        <v>81</v>
      </c>
      <c r="C28" s="72">
        <f>D28-31</f>
        <v>45261</v>
      </c>
      <c r="D28" s="72">
        <f>DATE(Year1-1,1,1)</f>
        <v>45292</v>
      </c>
      <c r="E28" s="72">
        <f>D28+31</f>
        <v>45323</v>
      </c>
      <c r="F28" s="72">
        <f>E28+29</f>
        <v>45352</v>
      </c>
      <c r="G28" s="72">
        <f>F28+31</f>
        <v>45383</v>
      </c>
      <c r="H28" s="72">
        <f>G28+30</f>
        <v>45413</v>
      </c>
      <c r="I28" s="72">
        <f>H28+31</f>
        <v>45444</v>
      </c>
      <c r="J28" s="72">
        <f>I28+30</f>
        <v>45474</v>
      </c>
      <c r="K28" s="72">
        <f>J28+31</f>
        <v>45505</v>
      </c>
      <c r="L28" s="72">
        <f>K28+31</f>
        <v>45536</v>
      </c>
      <c r="M28" s="72">
        <f>L28+30</f>
        <v>45566</v>
      </c>
      <c r="N28" s="72">
        <f>M28+31</f>
        <v>45597</v>
      </c>
      <c r="O28" s="72">
        <f>N28+30</f>
        <v>45627</v>
      </c>
      <c r="P28" s="72" t="s">
        <v>46</v>
      </c>
      <c r="Q28" s="72" t="s">
        <v>2</v>
      </c>
      <c r="R28" s="73" t="s">
        <v>81</v>
      </c>
      <c r="S28" s="72">
        <f>T28-31</f>
        <v>45627</v>
      </c>
      <c r="T28" s="72">
        <f>DATE(Year1,1,1)</f>
        <v>45658</v>
      </c>
      <c r="U28" s="72">
        <f>T28+31</f>
        <v>45689</v>
      </c>
      <c r="V28" s="72">
        <f>U28+28</f>
        <v>45717</v>
      </c>
      <c r="W28" s="72">
        <f>V28+31</f>
        <v>45748</v>
      </c>
      <c r="X28" s="72">
        <f>W28+30</f>
        <v>45778</v>
      </c>
      <c r="Y28" s="72">
        <f>X28+31</f>
        <v>45809</v>
      </c>
      <c r="Z28" s="72">
        <f>Y28+30</f>
        <v>45839</v>
      </c>
      <c r="AA28" s="72">
        <f>Z28+31</f>
        <v>45870</v>
      </c>
      <c r="AB28" s="72">
        <f>AA28+31</f>
        <v>45901</v>
      </c>
      <c r="AC28" s="72">
        <f>AB28+30</f>
        <v>45931</v>
      </c>
      <c r="AD28" s="72">
        <f>AC28+31</f>
        <v>45962</v>
      </c>
      <c r="AE28" s="72">
        <f>AD28+30</f>
        <v>45992</v>
      </c>
      <c r="AF28" s="72" t="s">
        <v>46</v>
      </c>
      <c r="AG28" s="72" t="s">
        <v>2</v>
      </c>
      <c r="AH28" s="73" t="s">
        <v>81</v>
      </c>
      <c r="AI28" s="72">
        <f>AJ28-31</f>
        <v>45992</v>
      </c>
      <c r="AJ28" s="72">
        <f>DATE(Year2,1,1)</f>
        <v>46023</v>
      </c>
      <c r="AK28" s="72">
        <f>AJ28+31</f>
        <v>46054</v>
      </c>
      <c r="AL28" s="72">
        <f>AK28+29</f>
        <v>46083</v>
      </c>
      <c r="AM28" s="72">
        <f>AL28+31</f>
        <v>46114</v>
      </c>
      <c r="AN28" s="72">
        <f>AM28+30</f>
        <v>46144</v>
      </c>
      <c r="AO28" s="72">
        <f>AN28+31</f>
        <v>46175</v>
      </c>
      <c r="AP28" s="72">
        <f>AO28+30</f>
        <v>46205</v>
      </c>
      <c r="AQ28" s="72">
        <f>AP28+31</f>
        <v>46236</v>
      </c>
      <c r="AR28" s="72">
        <f>AQ28+31</f>
        <v>46267</v>
      </c>
      <c r="AS28" s="72">
        <f>AR28+30</f>
        <v>46297</v>
      </c>
      <c r="AT28" s="72">
        <f>AS28+31</f>
        <v>46328</v>
      </c>
      <c r="AU28" s="72">
        <f>AT28+30</f>
        <v>46358</v>
      </c>
      <c r="AV28" s="72" t="s">
        <v>46</v>
      </c>
    </row>
    <row r="29" spans="1:48" x14ac:dyDescent="0.2">
      <c r="A29" s="35"/>
      <c r="Q29" s="35"/>
      <c r="AG29" s="35"/>
    </row>
    <row r="30" spans="1:48" x14ac:dyDescent="0.2">
      <c r="A30" s="35">
        <f>Res!A30</f>
        <v>1</v>
      </c>
      <c r="B30" s="65" t="str">
        <f>Res!B30</f>
        <v>SBC Revenues</v>
      </c>
      <c r="C30" s="74"/>
      <c r="D30" s="75">
        <v>0</v>
      </c>
      <c r="E30" s="75">
        <v>-161.34169782738786</v>
      </c>
      <c r="F30" s="75">
        <v>-161.34169782738786</v>
      </c>
      <c r="G30" s="75">
        <v>-161.34169782738786</v>
      </c>
      <c r="H30" s="75">
        <v>-161.34169782738786</v>
      </c>
      <c r="I30" s="75">
        <v>-161.34169782738786</v>
      </c>
      <c r="J30" s="75">
        <v>-161.34169782738786</v>
      </c>
      <c r="K30" s="75">
        <v>-161.34169782738786</v>
      </c>
      <c r="L30" s="75">
        <v>-322.68339565477572</v>
      </c>
      <c r="M30" s="75">
        <v>-80.670848913693931</v>
      </c>
      <c r="N30" s="75">
        <v>-161.34169782738786</v>
      </c>
      <c r="O30" s="75">
        <v>-266.90070267123127</v>
      </c>
      <c r="P30" s="75">
        <f t="shared" ref="P30:P36" si="0">SUM(D30:O30)</f>
        <v>-1960.9885298588038</v>
      </c>
      <c r="Q30" s="35">
        <v>1</v>
      </c>
      <c r="R30" s="65" t="str">
        <f>Res!R30</f>
        <v>SBC Revenues</v>
      </c>
      <c r="S30" s="74"/>
      <c r="T30" s="75">
        <v>0</v>
      </c>
      <c r="U30" s="75">
        <v>-156.80293727720479</v>
      </c>
      <c r="V30" s="75">
        <v>-156.80293727720479</v>
      </c>
      <c r="W30" s="75">
        <v>-156.80293727720479</v>
      </c>
      <c r="X30" s="75">
        <v>-156.80293727720479</v>
      </c>
      <c r="Y30" s="75">
        <v>-156.80293727720479</v>
      </c>
      <c r="Z30" s="75">
        <v>-156.80293727720479</v>
      </c>
      <c r="AA30" s="75">
        <v>-167.07493855176969</v>
      </c>
      <c r="AB30" s="75">
        <v>-167.07493855176969</v>
      </c>
      <c r="AC30" s="75">
        <v>-167.07553191428494</v>
      </c>
      <c r="AD30" s="75">
        <v>-167.07553191428494</v>
      </c>
      <c r="AE30" s="75">
        <v>-334.15106382856987</v>
      </c>
      <c r="AF30" s="75">
        <f t="shared" ref="AF30:AF36" si="1">SUM(T30:AE30)</f>
        <v>-1943.269628423908</v>
      </c>
      <c r="AG30" s="35">
        <v>1</v>
      </c>
      <c r="AH30" s="65" t="str">
        <f>Res!AH30</f>
        <v>SBC Revenues</v>
      </c>
      <c r="AI30" s="74"/>
      <c r="AJ30" s="75">
        <v>0</v>
      </c>
      <c r="AK30" s="75">
        <v>-167.53601627262179</v>
      </c>
      <c r="AL30" s="75">
        <v>-167.53601627262179</v>
      </c>
      <c r="AM30" s="75">
        <v>-167.53601627262179</v>
      </c>
      <c r="AN30" s="75">
        <v>-167.53601627262179</v>
      </c>
      <c r="AO30" s="75">
        <v>-167.53601627262179</v>
      </c>
      <c r="AP30" s="75">
        <v>-167.53601627262179</v>
      </c>
      <c r="AQ30" s="75">
        <v>-167.53601627262179</v>
      </c>
      <c r="AR30" s="75">
        <v>-167.53601627262179</v>
      </c>
      <c r="AS30" s="75">
        <v>-167.53601627262179</v>
      </c>
      <c r="AT30" s="75">
        <v>-167.53601627262179</v>
      </c>
      <c r="AU30" s="75">
        <v>-335.07203254524359</v>
      </c>
      <c r="AV30" s="75">
        <f>SUM(AJ30:AU30)</f>
        <v>-2010.4321952714613</v>
      </c>
    </row>
    <row r="31" spans="1:48" x14ac:dyDescent="0.2">
      <c r="A31" s="35">
        <f>Res!A31</f>
        <v>2</v>
      </c>
      <c r="B31" s="65" t="str">
        <f>Res!B31</f>
        <v>EES Revenues, 1/1/2024-6/30/2024</v>
      </c>
      <c r="C31" s="74"/>
      <c r="D31" s="75">
        <v>0</v>
      </c>
      <c r="E31" s="75">
        <v>-825.05539459616864</v>
      </c>
      <c r="F31" s="75">
        <v>-825.05539459616864</v>
      </c>
      <c r="G31" s="75">
        <v>-825.05539459616864</v>
      </c>
      <c r="H31" s="75">
        <v>-825.05539459616864</v>
      </c>
      <c r="I31" s="75">
        <v>-825.05539459616864</v>
      </c>
      <c r="J31" s="75">
        <v>-825.05539459616864</v>
      </c>
      <c r="P31" s="75">
        <f t="shared" si="0"/>
        <v>-4950.3323675770116</v>
      </c>
      <c r="Q31" s="35">
        <v>2</v>
      </c>
      <c r="R31" s="65" t="str">
        <f>Res!R31</f>
        <v>EES Revenues, 1/1/2025-6/30/2025</v>
      </c>
      <c r="S31" s="74"/>
      <c r="T31" s="75">
        <v>0</v>
      </c>
      <c r="U31" s="75">
        <v>-976.5452155637945</v>
      </c>
      <c r="V31" s="75">
        <v>-976.5452155637945</v>
      </c>
      <c r="W31" s="75">
        <v>-976.5452155637945</v>
      </c>
      <c r="X31" s="75">
        <v>-976.5452155637945</v>
      </c>
      <c r="Y31" s="75">
        <v>-976.5452155637945</v>
      </c>
      <c r="Z31" s="75">
        <v>-976.5452155637945</v>
      </c>
      <c r="AA31" s="75"/>
      <c r="AB31" s="75"/>
      <c r="AC31" s="75"/>
      <c r="AD31" s="75"/>
      <c r="AE31" s="75"/>
      <c r="AF31" s="75">
        <f t="shared" si="1"/>
        <v>-5859.2712933827661</v>
      </c>
      <c r="AG31" s="35">
        <f t="shared" ref="AG31:AG36" si="2">AG30+1</f>
        <v>2</v>
      </c>
      <c r="AH31" s="65" t="str">
        <f>Res!AH31</f>
        <v>EES Revenues</v>
      </c>
      <c r="AI31" s="74"/>
      <c r="AJ31" s="75">
        <v>0</v>
      </c>
      <c r="AK31" s="75">
        <v>-766.6992947925944</v>
      </c>
      <c r="AL31" s="75">
        <v>-766.6992947925944</v>
      </c>
      <c r="AM31" s="75">
        <v>-766.6992947925944</v>
      </c>
      <c r="AN31" s="75">
        <v>-766.6992947925944</v>
      </c>
      <c r="AO31" s="75">
        <v>-766.6992947925944</v>
      </c>
      <c r="AP31" s="75">
        <v>-766.6992947925944</v>
      </c>
      <c r="AQ31" s="75">
        <v>-766.6992947925944</v>
      </c>
      <c r="AR31" s="75">
        <v>-766.6992947925944</v>
      </c>
      <c r="AS31" s="75">
        <v>-766.6992947925944</v>
      </c>
      <c r="AT31" s="75">
        <v>-766.6992947925944</v>
      </c>
      <c r="AU31" s="75">
        <v>-1533.3985895851888</v>
      </c>
      <c r="AV31" s="75">
        <f>SUM(AJ31:AU31)</f>
        <v>-9200.3915375111337</v>
      </c>
    </row>
    <row r="32" spans="1:48" x14ac:dyDescent="0.2">
      <c r="A32" s="35">
        <f>Res!A32</f>
        <v>3</v>
      </c>
      <c r="B32" s="65" t="str">
        <f>Res!B32</f>
        <v>EES Revenues, 7/1/2024-12/31/2024</v>
      </c>
      <c r="C32" s="74"/>
      <c r="D32" s="75"/>
      <c r="E32" s="75"/>
      <c r="F32" s="75"/>
      <c r="G32" s="75"/>
      <c r="H32" s="75"/>
      <c r="I32" s="75"/>
      <c r="J32" s="75"/>
      <c r="K32" s="75">
        <v>220.96433836552498</v>
      </c>
      <c r="L32" s="75">
        <v>844.47398786731833</v>
      </c>
      <c r="M32" s="75">
        <v>216.43680263937742</v>
      </c>
      <c r="N32" s="75">
        <v>432.87360527875484</v>
      </c>
      <c r="O32" s="75">
        <v>781.71808892905483</v>
      </c>
      <c r="P32" s="75">
        <f t="shared" si="0"/>
        <v>2496.4668230800307</v>
      </c>
      <c r="Q32" s="35">
        <v>3</v>
      </c>
      <c r="R32" s="65" t="str">
        <f>Res!R32</f>
        <v>EES Revenues, 7/1/2025-12/31/2025</v>
      </c>
      <c r="S32" s="74"/>
      <c r="T32" s="75"/>
      <c r="U32" s="75"/>
      <c r="V32" s="75"/>
      <c r="W32" s="75"/>
      <c r="X32" s="75"/>
      <c r="Y32" s="75"/>
      <c r="Z32" s="75"/>
      <c r="AA32" s="75">
        <v>-519.25045587063426</v>
      </c>
      <c r="AB32" s="75">
        <v>-519.25045587063426</v>
      </c>
      <c r="AC32" s="75">
        <v>-519.25047622610145</v>
      </c>
      <c r="AD32" s="75">
        <v>-519.25047622610145</v>
      </c>
      <c r="AE32" s="75">
        <v>-1038.5009524522029</v>
      </c>
      <c r="AF32" s="75">
        <f>SUM(T32:AE32)</f>
        <v>-3115.5028166456741</v>
      </c>
      <c r="AG32" s="35"/>
      <c r="AH32" s="65"/>
      <c r="AI32" s="74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</row>
    <row r="33" spans="1:50" x14ac:dyDescent="0.2">
      <c r="A33" s="35">
        <f>Res!A33</f>
        <v>4</v>
      </c>
      <c r="B33" s="65" t="str">
        <f>Res!B33</f>
        <v>FCM Revenues*</v>
      </c>
      <c r="C33" s="74"/>
      <c r="D33" s="75">
        <v>-30.241985699874984</v>
      </c>
      <c r="E33" s="75">
        <v>-49.819167568198473</v>
      </c>
      <c r="F33" s="75">
        <v>-53.834649797435205</v>
      </c>
      <c r="G33" s="75">
        <v>-60.927761492935524</v>
      </c>
      <c r="H33" s="75">
        <v>-46.634632751915625</v>
      </c>
      <c r="I33" s="75">
        <v>-76.818505531112024</v>
      </c>
      <c r="J33" s="75">
        <v>-97.702157326971232</v>
      </c>
      <c r="K33" s="75">
        <v>-104.87448311609693</v>
      </c>
      <c r="L33" s="75">
        <v>-92.913989830114986</v>
      </c>
      <c r="M33" s="75">
        <v>-96.654559912420225</v>
      </c>
      <c r="N33" s="75">
        <v>-86.096201657624263</v>
      </c>
      <c r="O33" s="75">
        <v>-149.96810107948275</v>
      </c>
      <c r="P33" s="75">
        <f t="shared" si="0"/>
        <v>-946.4861957641823</v>
      </c>
      <c r="Q33" s="35">
        <v>4</v>
      </c>
      <c r="R33" s="65" t="str">
        <f>Res!R33</f>
        <v>FCM Revenues*</v>
      </c>
      <c r="S33" s="74"/>
      <c r="T33" s="75">
        <v>-61.339371009047085</v>
      </c>
      <c r="U33" s="75">
        <v>-91.991671728403361</v>
      </c>
      <c r="V33" s="75">
        <v>-89.600226371650876</v>
      </c>
      <c r="W33" s="75">
        <v>-85.592078986040775</v>
      </c>
      <c r="X33" s="75">
        <v>-91.055521399871438</v>
      </c>
      <c r="Y33" s="75">
        <v>-77.120163733540508</v>
      </c>
      <c r="Z33" s="75">
        <v>-52.148791105970353</v>
      </c>
      <c r="AA33" s="75">
        <v>-53.716172353084879</v>
      </c>
      <c r="AB33" s="75">
        <v>-50.677980581826453</v>
      </c>
      <c r="AC33" s="75">
        <v>-42.820460788756108</v>
      </c>
      <c r="AD33" s="75">
        <v>-42.820460788756108</v>
      </c>
      <c r="AE33" s="75">
        <v>-42.820460788756108</v>
      </c>
      <c r="AF33" s="75">
        <f t="shared" si="1"/>
        <v>-781.70335963570403</v>
      </c>
      <c r="AG33" s="35">
        <f>AG31+1</f>
        <v>3</v>
      </c>
      <c r="AH33" s="65" t="str">
        <f>Res!AH33</f>
        <v>FCM Revenues*</v>
      </c>
      <c r="AI33" s="74"/>
      <c r="AJ33" s="75">
        <v>-38.111737371076707</v>
      </c>
      <c r="AK33" s="75">
        <v>-38.111737371076707</v>
      </c>
      <c r="AL33" s="75">
        <v>-38.111737371076707</v>
      </c>
      <c r="AM33" s="75">
        <v>-38.111737371076707</v>
      </c>
      <c r="AN33" s="75">
        <v>-38.111737371076707</v>
      </c>
      <c r="AO33" s="75">
        <v>-38.111737371076707</v>
      </c>
      <c r="AP33" s="75">
        <v>-38.111737371076707</v>
      </c>
      <c r="AQ33" s="75">
        <v>-38.111737371076707</v>
      </c>
      <c r="AR33" s="75">
        <v>-38.111737371076707</v>
      </c>
      <c r="AS33" s="75">
        <v>-38.111737371076707</v>
      </c>
      <c r="AT33" s="75">
        <v>-38.111737371076707</v>
      </c>
      <c r="AU33" s="75">
        <v>-38.111737371076707</v>
      </c>
      <c r="AV33" s="75">
        <f>SUM(AJ33:AU33)</f>
        <v>-457.3408484529204</v>
      </c>
    </row>
    <row r="34" spans="1:50" x14ac:dyDescent="0.2">
      <c r="A34" s="35">
        <f>Res!A34</f>
        <v>5</v>
      </c>
      <c r="B34" s="65" t="str">
        <f>Res!B34</f>
        <v>RGGI Revenues**</v>
      </c>
      <c r="C34" s="74"/>
      <c r="D34" s="75">
        <v>-651.62007470852961</v>
      </c>
      <c r="E34" s="75">
        <v>0</v>
      </c>
      <c r="F34" s="75">
        <v>0</v>
      </c>
      <c r="G34" s="75">
        <v>-829.32002532135061</v>
      </c>
      <c r="H34" s="75">
        <v>0</v>
      </c>
      <c r="I34" s="75">
        <v>-1188.5057520309867</v>
      </c>
      <c r="J34" s="75">
        <v>0</v>
      </c>
      <c r="K34" s="75">
        <v>0</v>
      </c>
      <c r="L34" s="75">
        <v>0</v>
      </c>
      <c r="M34" s="75">
        <v>0</v>
      </c>
      <c r="N34" s="75">
        <v>-985.42279233086322</v>
      </c>
      <c r="O34" s="75">
        <v>0</v>
      </c>
      <c r="P34" s="75">
        <f t="shared" si="0"/>
        <v>-3654.86864439173</v>
      </c>
      <c r="Q34" s="35">
        <v>5</v>
      </c>
      <c r="R34" s="65" t="str">
        <f>Res!R34</f>
        <v>RGGI Revenues**</v>
      </c>
      <c r="S34" s="74"/>
      <c r="T34" s="75">
        <v>0</v>
      </c>
      <c r="U34" s="75">
        <v>-635.92489480000006</v>
      </c>
      <c r="V34" s="75">
        <v>-554.32001560000003</v>
      </c>
      <c r="W34" s="75">
        <v>0</v>
      </c>
      <c r="X34" s="75">
        <v>-436.06723420000003</v>
      </c>
      <c r="Y34" s="75">
        <v>0</v>
      </c>
      <c r="Z34" s="75">
        <v>0</v>
      </c>
      <c r="AA34" s="75">
        <v>0</v>
      </c>
      <c r="AB34" s="75">
        <v>0</v>
      </c>
      <c r="AC34" s="75">
        <v>-757.22920000000011</v>
      </c>
      <c r="AD34" s="75">
        <v>0</v>
      </c>
      <c r="AE34" s="75">
        <v>0</v>
      </c>
      <c r="AF34" s="75">
        <f t="shared" si="1"/>
        <v>-2383.5413446000002</v>
      </c>
      <c r="AG34" s="35">
        <f t="shared" si="2"/>
        <v>4</v>
      </c>
      <c r="AH34" s="65" t="str">
        <f>Res!AH34</f>
        <v>RGGI Revenues**</v>
      </c>
      <c r="AI34" s="74"/>
      <c r="AJ34" s="75">
        <v>0</v>
      </c>
      <c r="AK34" s="75">
        <v>0</v>
      </c>
      <c r="AL34" s="75">
        <v>-300.01023240337287</v>
      </c>
      <c r="AM34" s="75">
        <v>0</v>
      </c>
      <c r="AN34" s="75">
        <v>0</v>
      </c>
      <c r="AO34" s="75">
        <v>-300.01023240337287</v>
      </c>
      <c r="AP34" s="75">
        <v>0</v>
      </c>
      <c r="AQ34" s="75">
        <v>0</v>
      </c>
      <c r="AR34" s="75">
        <v>-300.01023240337287</v>
      </c>
      <c r="AS34" s="75">
        <v>0</v>
      </c>
      <c r="AT34" s="75">
        <v>0</v>
      </c>
      <c r="AU34" s="75">
        <v>-300.01023240337287</v>
      </c>
      <c r="AV34" s="75">
        <f>SUM(AJ34:AU34)</f>
        <v>-1200.0409296134915</v>
      </c>
    </row>
    <row r="35" spans="1:50" ht="15" x14ac:dyDescent="0.35">
      <c r="A35" s="35">
        <f>Res!A35</f>
        <v>6</v>
      </c>
      <c r="B35" s="65" t="str">
        <f>Res!B35</f>
        <v>Other Revenues***</v>
      </c>
      <c r="C35" s="74"/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f>SUM(D35:O35)</f>
        <v>0</v>
      </c>
      <c r="Q35" s="35">
        <v>6</v>
      </c>
      <c r="R35" s="65" t="str">
        <f>Res!R35</f>
        <v>Other Revenues***</v>
      </c>
      <c r="S35" s="74"/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76">
        <v>0</v>
      </c>
      <c r="AE35" s="76">
        <v>0</v>
      </c>
      <c r="AF35" s="76">
        <f>SUM(T35:AE35)</f>
        <v>0</v>
      </c>
      <c r="AG35" s="35">
        <f t="shared" si="2"/>
        <v>5</v>
      </c>
      <c r="AH35" s="65" t="str">
        <f>Res!AH35</f>
        <v>Other Revenues***</v>
      </c>
      <c r="AI35" s="74"/>
      <c r="AJ35" s="76">
        <v>0</v>
      </c>
      <c r="AK35" s="76">
        <v>0</v>
      </c>
      <c r="AL35" s="76">
        <v>0</v>
      </c>
      <c r="AM35" s="76">
        <v>0</v>
      </c>
      <c r="AN35" s="76">
        <v>0</v>
      </c>
      <c r="AO35" s="76">
        <v>0</v>
      </c>
      <c r="AP35" s="76">
        <v>0</v>
      </c>
      <c r="AQ35" s="76">
        <v>0</v>
      </c>
      <c r="AR35" s="76">
        <v>0</v>
      </c>
      <c r="AS35" s="76">
        <v>0</v>
      </c>
      <c r="AT35" s="76">
        <v>0</v>
      </c>
      <c r="AU35" s="76">
        <v>0</v>
      </c>
      <c r="AV35" s="76">
        <f>SUM(AJ35:AU35)</f>
        <v>0</v>
      </c>
    </row>
    <row r="36" spans="1:50" x14ac:dyDescent="0.2">
      <c r="A36" s="35">
        <f>Res!A36</f>
        <v>7</v>
      </c>
      <c r="B36" s="65" t="str">
        <f>Res!B36</f>
        <v>Total Energy Efficiency Revenues</v>
      </c>
      <c r="C36" s="74"/>
      <c r="D36" s="75">
        <f t="shared" ref="D36:O36" si="3">SUM(D30:D35)</f>
        <v>-681.86206040840455</v>
      </c>
      <c r="E36" s="75">
        <f t="shared" si="3"/>
        <v>-1036.2162599917549</v>
      </c>
      <c r="F36" s="75">
        <f t="shared" si="3"/>
        <v>-1040.2317422209917</v>
      </c>
      <c r="G36" s="75">
        <f t="shared" si="3"/>
        <v>-1876.6448792378426</v>
      </c>
      <c r="H36" s="75">
        <f t="shared" si="3"/>
        <v>-1033.031725175472</v>
      </c>
      <c r="I36" s="75">
        <f t="shared" si="3"/>
        <v>-2251.7213499856553</v>
      </c>
      <c r="J36" s="75">
        <f t="shared" si="3"/>
        <v>-1084.0992497505276</v>
      </c>
      <c r="K36" s="75">
        <f t="shared" si="3"/>
        <v>-45.251842577959806</v>
      </c>
      <c r="L36" s="75">
        <f t="shared" si="3"/>
        <v>428.87660238242762</v>
      </c>
      <c r="M36" s="75">
        <f t="shared" si="3"/>
        <v>39.111393813263263</v>
      </c>
      <c r="N36" s="75">
        <f t="shared" si="3"/>
        <v>-799.98708653712049</v>
      </c>
      <c r="O36" s="75">
        <f t="shared" si="3"/>
        <v>364.84928517834078</v>
      </c>
      <c r="P36" s="75">
        <f t="shared" si="0"/>
        <v>-9016.208914511697</v>
      </c>
      <c r="Q36" s="35">
        <v>7</v>
      </c>
      <c r="R36" s="65" t="str">
        <f>Res!R36</f>
        <v>Total Energy Efficiency Revenues</v>
      </c>
      <c r="S36" s="74"/>
      <c r="T36" s="75">
        <f t="shared" ref="T36:AD36" si="4">SUM(T30:T35)</f>
        <v>-61.339371009047085</v>
      </c>
      <c r="U36" s="75">
        <f t="shared" si="4"/>
        <v>-1861.2647193694029</v>
      </c>
      <c r="V36" s="75">
        <f t="shared" si="4"/>
        <v>-1777.2683948126503</v>
      </c>
      <c r="W36" s="75">
        <f t="shared" si="4"/>
        <v>-1218.9402318270402</v>
      </c>
      <c r="X36" s="75">
        <f t="shared" si="4"/>
        <v>-1660.4709084408707</v>
      </c>
      <c r="Y36" s="75">
        <f t="shared" si="4"/>
        <v>-1210.4683165745398</v>
      </c>
      <c r="Z36" s="75">
        <f t="shared" si="4"/>
        <v>-1185.4969439469696</v>
      </c>
      <c r="AA36" s="75">
        <f t="shared" si="4"/>
        <v>-740.04156677548883</v>
      </c>
      <c r="AB36" s="75">
        <f t="shared" si="4"/>
        <v>-737.00337500423041</v>
      </c>
      <c r="AC36" s="75">
        <f t="shared" si="4"/>
        <v>-1486.3756689291426</v>
      </c>
      <c r="AD36" s="75">
        <f t="shared" si="4"/>
        <v>-729.14646892914254</v>
      </c>
      <c r="AE36" s="75">
        <f>SUM(AE30:AE35)</f>
        <v>-1415.4724770695288</v>
      </c>
      <c r="AF36" s="75">
        <f t="shared" si="1"/>
        <v>-14083.288442688054</v>
      </c>
      <c r="AG36" s="35">
        <f t="shared" si="2"/>
        <v>6</v>
      </c>
      <c r="AH36" s="65" t="str">
        <f>Res!AH36</f>
        <v>Total Energy Efficiency Revenues</v>
      </c>
      <c r="AI36" s="74"/>
      <c r="AJ36" s="75">
        <f t="shared" ref="AJ36:AU36" si="5">SUM(AJ30:AJ35)</f>
        <v>-38.111737371076707</v>
      </c>
      <c r="AK36" s="75">
        <f t="shared" si="5"/>
        <v>-972.34704843629288</v>
      </c>
      <c r="AL36" s="75">
        <f t="shared" si="5"/>
        <v>-1272.3572808396657</v>
      </c>
      <c r="AM36" s="75">
        <f t="shared" si="5"/>
        <v>-972.34704843629288</v>
      </c>
      <c r="AN36" s="75">
        <f t="shared" si="5"/>
        <v>-972.34704843629288</v>
      </c>
      <c r="AO36" s="75">
        <f t="shared" si="5"/>
        <v>-1272.3572808396657</v>
      </c>
      <c r="AP36" s="75">
        <f t="shared" si="5"/>
        <v>-972.34704843629288</v>
      </c>
      <c r="AQ36" s="75">
        <f t="shared" si="5"/>
        <v>-972.34704843629288</v>
      </c>
      <c r="AR36" s="75">
        <f t="shared" si="5"/>
        <v>-1272.3572808396657</v>
      </c>
      <c r="AS36" s="75">
        <f t="shared" si="5"/>
        <v>-972.34704843629288</v>
      </c>
      <c r="AT36" s="75">
        <f t="shared" si="5"/>
        <v>-972.34704843629288</v>
      </c>
      <c r="AU36" s="75">
        <f t="shared" si="5"/>
        <v>-2206.5925919048818</v>
      </c>
      <c r="AV36" s="75">
        <f>SUM(AJ36:AU36)</f>
        <v>-12868.205510849008</v>
      </c>
      <c r="AX36" s="12" t="s">
        <v>36</v>
      </c>
    </row>
    <row r="37" spans="1:50" x14ac:dyDescent="0.2">
      <c r="A37" s="35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35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35"/>
      <c r="AI37" s="74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</row>
    <row r="38" spans="1:50" x14ac:dyDescent="0.2">
      <c r="A38" s="35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35">
        <f>Res!Q38</f>
        <v>8</v>
      </c>
      <c r="R38" s="65" t="str">
        <f>Res!R38</f>
        <v>Energy Efficiency Expenditures - PA Models</v>
      </c>
      <c r="S38" s="74"/>
      <c r="T38" s="75">
        <f t="shared" ref="T38:AE38" si="6">T40-T39</f>
        <v>93.483754037214027</v>
      </c>
      <c r="U38" s="75">
        <f t="shared" si="6"/>
        <v>182.87300142934092</v>
      </c>
      <c r="V38" s="75">
        <f t="shared" si="6"/>
        <v>1316.4730885242059</v>
      </c>
      <c r="W38" s="75">
        <f t="shared" si="6"/>
        <v>925.99708707967363</v>
      </c>
      <c r="X38" s="75">
        <f t="shared" si="6"/>
        <v>1163.2333113116135</v>
      </c>
      <c r="Y38" s="75">
        <f t="shared" si="6"/>
        <v>949.93930706369713</v>
      </c>
      <c r="Z38" s="75">
        <f t="shared" si="6"/>
        <v>982.65072022153902</v>
      </c>
      <c r="AA38" s="75">
        <f t="shared" si="6"/>
        <v>847.65352773201323</v>
      </c>
      <c r="AB38" s="75">
        <f t="shared" si="6"/>
        <v>411.22027473239052</v>
      </c>
      <c r="AC38" s="75">
        <f t="shared" si="6"/>
        <v>1915.8570598754477</v>
      </c>
      <c r="AD38" s="75">
        <f t="shared" si="6"/>
        <v>1915.8570598754477</v>
      </c>
      <c r="AE38" s="75">
        <f t="shared" si="6"/>
        <v>1915.8570598754477</v>
      </c>
      <c r="AF38" s="75">
        <f>SUM(T38:AE38)</f>
        <v>12621.095251758034</v>
      </c>
      <c r="AG38" s="35">
        <f>Res!AG38</f>
        <v>7</v>
      </c>
      <c r="AH38" s="65" t="str">
        <f>Res!AH38</f>
        <v>Energy Efficiency Expenditures - PA Models</v>
      </c>
      <c r="AI38" s="74"/>
      <c r="AJ38" s="75">
        <f t="shared" ref="AJ38:AU38" si="7">AJ40-AJ39</f>
        <v>1278.8481520345476</v>
      </c>
      <c r="AK38" s="75">
        <f t="shared" si="7"/>
        <v>1278.8481520345476</v>
      </c>
      <c r="AL38" s="75">
        <f t="shared" si="7"/>
        <v>1278.8481520345476</v>
      </c>
      <c r="AM38" s="75">
        <f t="shared" si="7"/>
        <v>1278.8481520345476</v>
      </c>
      <c r="AN38" s="75">
        <f t="shared" si="7"/>
        <v>1278.8481520345476</v>
      </c>
      <c r="AO38" s="75">
        <f t="shared" si="7"/>
        <v>1278.8481520345476</v>
      </c>
      <c r="AP38" s="75">
        <f t="shared" si="7"/>
        <v>1278.8481520345476</v>
      </c>
      <c r="AQ38" s="75">
        <f t="shared" si="7"/>
        <v>1278.8481520345476</v>
      </c>
      <c r="AR38" s="75">
        <f t="shared" si="7"/>
        <v>1278.8481520345476</v>
      </c>
      <c r="AS38" s="75">
        <f t="shared" si="7"/>
        <v>1278.8481520345476</v>
      </c>
      <c r="AT38" s="75">
        <f t="shared" si="7"/>
        <v>1278.8481520345476</v>
      </c>
      <c r="AU38" s="75">
        <f t="shared" si="7"/>
        <v>1278.8481520345476</v>
      </c>
      <c r="AV38" s="75">
        <f>SUM(AJ38:AU38)</f>
        <v>15346.177824414575</v>
      </c>
    </row>
    <row r="39" spans="1:50" ht="15" x14ac:dyDescent="0.35">
      <c r="A39" s="35"/>
      <c r="C39" s="74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35">
        <f>Res!Q39</f>
        <v>9</v>
      </c>
      <c r="R39" s="65" t="str">
        <f>Res!R39</f>
        <v>Energy Efficiency Expenditures - Electrification Pool</v>
      </c>
      <c r="S39" s="74"/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84.897619999999989</v>
      </c>
      <c r="AB39" s="76">
        <v>87.046030000000002</v>
      </c>
      <c r="AC39" s="76">
        <v>176.97459913116191</v>
      </c>
      <c r="AD39" s="76">
        <v>176.97459913116191</v>
      </c>
      <c r="AE39" s="76">
        <v>176.97459913116191</v>
      </c>
      <c r="AF39" s="76">
        <f>SUM(T39:AE39)</f>
        <v>702.86744739348569</v>
      </c>
      <c r="AG39" s="35">
        <f>Res!AG39</f>
        <v>8</v>
      </c>
      <c r="AH39" s="65" t="str">
        <f>Res!AH39</f>
        <v>Energy Efficiency Expenditures - Electrification Pool</v>
      </c>
      <c r="AI39" s="74"/>
      <c r="AJ39" s="76">
        <v>69.712678972243594</v>
      </c>
      <c r="AK39" s="76">
        <v>69.712678972243594</v>
      </c>
      <c r="AL39" s="76">
        <v>69.712678972243594</v>
      </c>
      <c r="AM39" s="76">
        <v>69.712678972243594</v>
      </c>
      <c r="AN39" s="76">
        <v>69.712678972243594</v>
      </c>
      <c r="AO39" s="76">
        <v>69.712678972243594</v>
      </c>
      <c r="AP39" s="76">
        <v>69.712678972243594</v>
      </c>
      <c r="AQ39" s="76">
        <v>69.712678972243594</v>
      </c>
      <c r="AR39" s="76">
        <v>69.712678972243594</v>
      </c>
      <c r="AS39" s="76">
        <v>69.712678972243594</v>
      </c>
      <c r="AT39" s="76">
        <v>69.712678972243594</v>
      </c>
      <c r="AU39" s="76">
        <v>69.712678972243594</v>
      </c>
      <c r="AV39" s="76">
        <f>SUM(AJ39:AU39)</f>
        <v>836.55214766692291</v>
      </c>
    </row>
    <row r="40" spans="1:50" x14ac:dyDescent="0.2">
      <c r="A40" s="35">
        <f>Res!A40</f>
        <v>8</v>
      </c>
      <c r="B40" s="65" t="str">
        <f>Res!B40</f>
        <v>Total Energy Efficiency Expenses</v>
      </c>
      <c r="C40" s="74"/>
      <c r="D40" s="75">
        <v>45.090550356020174</v>
      </c>
      <c r="E40" s="75">
        <v>655.01120030234176</v>
      </c>
      <c r="F40" s="75">
        <v>1484.2063284056701</v>
      </c>
      <c r="G40" s="75">
        <v>1128.0572417549531</v>
      </c>
      <c r="H40" s="75">
        <v>1967.6129802946109</v>
      </c>
      <c r="I40" s="75">
        <v>1023.5232844226632</v>
      </c>
      <c r="J40" s="75">
        <v>1891.2960030149759</v>
      </c>
      <c r="K40" s="75">
        <v>1204.7054123196272</v>
      </c>
      <c r="L40" s="75">
        <v>208.82839365565232</v>
      </c>
      <c r="M40" s="75">
        <v>1241.3587845773598</v>
      </c>
      <c r="N40" s="75">
        <v>2710.5706859007373</v>
      </c>
      <c r="O40" s="75">
        <v>6854.7577616611825</v>
      </c>
      <c r="P40" s="75">
        <f>SUM(D40:O40)</f>
        <v>20415.018626665795</v>
      </c>
      <c r="Q40" s="35">
        <f>Res!Q40</f>
        <v>10</v>
      </c>
      <c r="R40" s="65" t="str">
        <f>Res!R40</f>
        <v>Total Energy Efficiency Expenses</v>
      </c>
      <c r="S40" s="74"/>
      <c r="T40" s="75">
        <v>93.483754037214027</v>
      </c>
      <c r="U40" s="75">
        <v>182.87300142934092</v>
      </c>
      <c r="V40" s="75">
        <v>1316.4730885242059</v>
      </c>
      <c r="W40" s="75">
        <v>925.99708707967363</v>
      </c>
      <c r="X40" s="75">
        <v>1163.2333113116135</v>
      </c>
      <c r="Y40" s="75">
        <v>949.93930706369713</v>
      </c>
      <c r="Z40" s="75">
        <v>982.65072022153902</v>
      </c>
      <c r="AA40" s="75">
        <v>932.55114773201319</v>
      </c>
      <c r="AB40" s="75">
        <v>498.26630473239049</v>
      </c>
      <c r="AC40" s="75">
        <v>2092.8316590066097</v>
      </c>
      <c r="AD40" s="75">
        <v>2092.8316590066097</v>
      </c>
      <c r="AE40" s="75">
        <v>2092.8316590066097</v>
      </c>
      <c r="AF40" s="75">
        <f>SUM(T40:AE40)</f>
        <v>13323.962699151518</v>
      </c>
      <c r="AG40" s="35">
        <f>Res!AG40</f>
        <v>9</v>
      </c>
      <c r="AH40" s="65" t="str">
        <f>Res!AH40</f>
        <v>Total Energy Efficiency Expenses</v>
      </c>
      <c r="AI40" s="74"/>
      <c r="AJ40" s="75">
        <v>1348.5608310067912</v>
      </c>
      <c r="AK40" s="75">
        <v>1348.5608310067912</v>
      </c>
      <c r="AL40" s="75">
        <v>1348.5608310067912</v>
      </c>
      <c r="AM40" s="75">
        <v>1348.5608310067912</v>
      </c>
      <c r="AN40" s="75">
        <v>1348.5608310067912</v>
      </c>
      <c r="AO40" s="75">
        <v>1348.5608310067912</v>
      </c>
      <c r="AP40" s="75">
        <v>1348.5608310067912</v>
      </c>
      <c r="AQ40" s="75">
        <v>1348.5608310067912</v>
      </c>
      <c r="AR40" s="75">
        <v>1348.5608310067912</v>
      </c>
      <c r="AS40" s="75">
        <v>1348.5608310067912</v>
      </c>
      <c r="AT40" s="75">
        <v>1348.5608310067912</v>
      </c>
      <c r="AU40" s="75">
        <v>1348.5608310067912</v>
      </c>
      <c r="AV40" s="75">
        <f>SUM(AJ40:AU40)</f>
        <v>16182.729972081494</v>
      </c>
    </row>
    <row r="41" spans="1:50" x14ac:dyDescent="0.2">
      <c r="A41" s="35"/>
      <c r="C41" s="74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35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35"/>
      <c r="AI41" s="74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</row>
    <row r="42" spans="1:50" ht="15" x14ac:dyDescent="0.35">
      <c r="A42" s="35">
        <f>Res!A42</f>
        <v>9</v>
      </c>
      <c r="B42" s="65" t="str">
        <f>Res!B42</f>
        <v>Deferral (Over)/Under Recovery</v>
      </c>
      <c r="C42" s="75"/>
      <c r="D42" s="75">
        <f t="shared" ref="D42:O42" si="8">D36+D40</f>
        <v>-636.77151005238443</v>
      </c>
      <c r="E42" s="75">
        <f t="shared" si="8"/>
        <v>-381.20505968941313</v>
      </c>
      <c r="F42" s="75">
        <f t="shared" si="8"/>
        <v>443.9745861846784</v>
      </c>
      <c r="G42" s="75">
        <f t="shared" si="8"/>
        <v>-748.58763748288948</v>
      </c>
      <c r="H42" s="75">
        <f t="shared" si="8"/>
        <v>934.58125511913886</v>
      </c>
      <c r="I42" s="75">
        <f t="shared" si="8"/>
        <v>-1228.198065562992</v>
      </c>
      <c r="J42" s="75">
        <f t="shared" si="8"/>
        <v>807.19675326444826</v>
      </c>
      <c r="K42" s="75">
        <f t="shared" si="8"/>
        <v>1159.4535697416673</v>
      </c>
      <c r="L42" s="75">
        <f t="shared" si="8"/>
        <v>637.70499603807991</v>
      </c>
      <c r="M42" s="75">
        <f t="shared" si="8"/>
        <v>1280.470178390623</v>
      </c>
      <c r="N42" s="75">
        <f t="shared" si="8"/>
        <v>1910.5835993636169</v>
      </c>
      <c r="O42" s="75">
        <f t="shared" si="8"/>
        <v>7219.6070468395228</v>
      </c>
      <c r="P42" s="76"/>
      <c r="Q42" s="35">
        <f>Res!Q42</f>
        <v>11</v>
      </c>
      <c r="R42" s="65" t="str">
        <f>Res!R42</f>
        <v>Deferral (Over)/Under Recovery</v>
      </c>
      <c r="S42" s="75"/>
      <c r="T42" s="75">
        <f t="shared" ref="T42:AE42" si="9">T36+T40</f>
        <v>32.144383028166942</v>
      </c>
      <c r="U42" s="75">
        <f t="shared" si="9"/>
        <v>-1678.3917179400619</v>
      </c>
      <c r="V42" s="75">
        <f t="shared" si="9"/>
        <v>-460.79530628844441</v>
      </c>
      <c r="W42" s="75">
        <f t="shared" si="9"/>
        <v>-292.94314474736655</v>
      </c>
      <c r="X42" s="75">
        <f t="shared" si="9"/>
        <v>-497.23759712925721</v>
      </c>
      <c r="Y42" s="75">
        <f t="shared" si="9"/>
        <v>-260.52900951084268</v>
      </c>
      <c r="Z42" s="75">
        <f t="shared" si="9"/>
        <v>-202.8462237254306</v>
      </c>
      <c r="AA42" s="75">
        <f t="shared" si="9"/>
        <v>192.50958095652436</v>
      </c>
      <c r="AB42" s="75">
        <f t="shared" si="9"/>
        <v>-238.73707027183991</v>
      </c>
      <c r="AC42" s="75">
        <f t="shared" si="9"/>
        <v>606.45599007746705</v>
      </c>
      <c r="AD42" s="75">
        <f t="shared" si="9"/>
        <v>1363.6851900774673</v>
      </c>
      <c r="AE42" s="75">
        <f t="shared" si="9"/>
        <v>677.35918193708085</v>
      </c>
      <c r="AF42" s="76"/>
      <c r="AG42" s="35">
        <f>Res!AG42</f>
        <v>10</v>
      </c>
      <c r="AH42" s="65" t="str">
        <f>Res!AH42</f>
        <v>Deferral (Over)/Under Recovery</v>
      </c>
      <c r="AI42" s="75"/>
      <c r="AJ42" s="75">
        <f t="shared" ref="AJ42:AU42" si="10">AJ36+AJ40</f>
        <v>1310.4490936357145</v>
      </c>
      <c r="AK42" s="75">
        <f t="shared" si="10"/>
        <v>376.21378257049832</v>
      </c>
      <c r="AL42" s="75">
        <f t="shared" si="10"/>
        <v>76.203550167125513</v>
      </c>
      <c r="AM42" s="75">
        <f t="shared" si="10"/>
        <v>376.21378257049832</v>
      </c>
      <c r="AN42" s="75">
        <f t="shared" si="10"/>
        <v>376.21378257049832</v>
      </c>
      <c r="AO42" s="75">
        <f t="shared" si="10"/>
        <v>76.203550167125513</v>
      </c>
      <c r="AP42" s="75">
        <f t="shared" si="10"/>
        <v>376.21378257049832</v>
      </c>
      <c r="AQ42" s="75">
        <f t="shared" si="10"/>
        <v>376.21378257049832</v>
      </c>
      <c r="AR42" s="75">
        <f t="shared" si="10"/>
        <v>76.203550167125513</v>
      </c>
      <c r="AS42" s="75">
        <f t="shared" si="10"/>
        <v>376.21378257049832</v>
      </c>
      <c r="AT42" s="75">
        <f t="shared" si="10"/>
        <v>376.21378257049832</v>
      </c>
      <c r="AU42" s="75">
        <f t="shared" si="10"/>
        <v>-858.03176089809062</v>
      </c>
      <c r="AV42" s="76"/>
    </row>
    <row r="43" spans="1:50" ht="15" x14ac:dyDescent="0.35">
      <c r="A43" s="35">
        <f>Res!A43</f>
        <v>10</v>
      </c>
      <c r="B43" s="65" t="str">
        <f>Res!B43</f>
        <v>Interest on Deferral Balance</v>
      </c>
      <c r="C43" s="74"/>
      <c r="D43" s="76">
        <v>-61.525505334124176</v>
      </c>
      <c r="E43" s="76">
        <v>-44.919790986798311</v>
      </c>
      <c r="F43" s="76">
        <v>-42.109829594711492</v>
      </c>
      <c r="G43" s="76">
        <v>-35.563384574707619</v>
      </c>
      <c r="H43" s="76">
        <v>-36.067401428819139</v>
      </c>
      <c r="I43" s="76">
        <v>-34.305354019039498</v>
      </c>
      <c r="J43" s="76">
        <v>-24.633531923996252</v>
      </c>
      <c r="K43" s="76">
        <v>-19.551805848051149</v>
      </c>
      <c r="L43" s="76">
        <v>-22.517095184610078</v>
      </c>
      <c r="M43" s="76">
        <v>-22.43066525840867</v>
      </c>
      <c r="N43" s="76">
        <v>-20.259904536691611</v>
      </c>
      <c r="O43" s="76">
        <v>-13.887577314649898</v>
      </c>
      <c r="P43" s="76">
        <f>SUM(D43:O43)</f>
        <v>-377.77184600460794</v>
      </c>
      <c r="Q43" s="35">
        <f>Res!Q43</f>
        <v>12</v>
      </c>
      <c r="R43" s="65" t="str">
        <f>Res!R43</f>
        <v>Interest on Deferral Balance</v>
      </c>
      <c r="S43" s="74"/>
      <c r="T43" s="76">
        <v>-17.170736681433166</v>
      </c>
      <c r="U43" s="76">
        <v>-9.2190914311316643</v>
      </c>
      <c r="V43" s="76">
        <v>-11.660726172029799</v>
      </c>
      <c r="W43" s="76">
        <v>-12.783493076240344</v>
      </c>
      <c r="X43" s="76">
        <v>-14.383112305458882</v>
      </c>
      <c r="Y43" s="76">
        <v>-15.601195866356036</v>
      </c>
      <c r="Z43" s="76">
        <v>-18.172087726496805</v>
      </c>
      <c r="AA43" s="76">
        <v>-18.226829008238703</v>
      </c>
      <c r="AB43" s="76">
        <v>-14.203709308149719</v>
      </c>
      <c r="AC43" s="76">
        <f>IF(AC27="Planned",(AB44+AC42/2)*AC45/12,"Update to Actuals")</f>
        <v>-16.377373168147546</v>
      </c>
      <c r="AD43" s="76">
        <f>IF(AD27="Planned",(AC44+AD42/2)*AD45/12,"Update to Actuals")</f>
        <v>-13.541254694196374</v>
      </c>
      <c r="AE43" s="76">
        <f>IF(AE27="Planned",(AD44+AE42/2)*AE45/12,"Update to Actuals")</f>
        <v>-10.593038300851974</v>
      </c>
      <c r="AF43" s="76">
        <f>SUM(T43:AE43)</f>
        <v>-171.93264773873102</v>
      </c>
      <c r="AG43" s="35">
        <f>Res!AG43</f>
        <v>11</v>
      </c>
      <c r="AH43" s="65" t="str">
        <f>Res!AH43</f>
        <v>Interest on Deferral Balance</v>
      </c>
      <c r="AI43" s="74"/>
      <c r="AJ43" s="76">
        <f t="shared" ref="AJ43:AU43" si="11">IF(AJ27="Planned",(AI44+AJ42/2)*AJ45/12,"Update to Actuals")</f>
        <v>-7.7141219151359621</v>
      </c>
      <c r="AK43" s="76">
        <f t="shared" si="11"/>
        <v>-5.2676201060745145</v>
      </c>
      <c r="AL43" s="76">
        <f t="shared" si="11"/>
        <v>-4.6207538206274998</v>
      </c>
      <c r="AM43" s="76">
        <f t="shared" si="11"/>
        <v>-3.9719936544447609</v>
      </c>
      <c r="AN43" s="76">
        <f t="shared" si="11"/>
        <v>-2.8821524168960924</v>
      </c>
      <c r="AO43" s="76">
        <f t="shared" si="11"/>
        <v>-2.2283020121590948</v>
      </c>
      <c r="AP43" s="76">
        <f t="shared" si="11"/>
        <v>-1.5725372787371168</v>
      </c>
      <c r="AQ43" s="76">
        <f t="shared" si="11"/>
        <v>-0.4756709661329051</v>
      </c>
      <c r="AR43" s="76">
        <f t="shared" si="11"/>
        <v>0.18522508151827166</v>
      </c>
      <c r="AS43" s="76">
        <f t="shared" si="11"/>
        <v>0.84805608593118276</v>
      </c>
      <c r="AT43" s="76">
        <f t="shared" si="11"/>
        <v>1.9520093579975069</v>
      </c>
      <c r="AU43" s="76">
        <f t="shared" si="11"/>
        <v>1.2523964226771966</v>
      </c>
      <c r="AV43" s="76">
        <f>SUM(AJ43:AU43)</f>
        <v>-24.495465222083784</v>
      </c>
    </row>
    <row r="44" spans="1:50" ht="15" x14ac:dyDescent="0.35">
      <c r="A44" s="35">
        <f>Res!A44</f>
        <v>11</v>
      </c>
      <c r="B44" s="65" t="str">
        <f>Res!B44</f>
        <v>(Over)/Under Ending Balance</v>
      </c>
      <c r="C44" s="77">
        <v>-13379.808470884624</v>
      </c>
      <c r="D44" s="77">
        <f>C44+D42+D43</f>
        <v>-14078.105486271132</v>
      </c>
      <c r="E44" s="77">
        <f>D44+E42+E43</f>
        <v>-14504.230336947343</v>
      </c>
      <c r="F44" s="77">
        <f>E44+F42+F43</f>
        <v>-14102.365580357377</v>
      </c>
      <c r="G44" s="77">
        <f t="shared" ref="G44:O44" si="12">F44+G42+G43</f>
        <v>-14886.516602414973</v>
      </c>
      <c r="H44" s="77">
        <f t="shared" si="12"/>
        <v>-13988.002748724653</v>
      </c>
      <c r="I44" s="77">
        <f t="shared" si="12"/>
        <v>-15250.506168306685</v>
      </c>
      <c r="J44" s="77">
        <f t="shared" si="12"/>
        <v>-14467.942946966234</v>
      </c>
      <c r="K44" s="77">
        <f t="shared" si="12"/>
        <v>-13328.041183072619</v>
      </c>
      <c r="L44" s="77">
        <f t="shared" si="12"/>
        <v>-12712.85328221915</v>
      </c>
      <c r="M44" s="77">
        <f t="shared" si="12"/>
        <v>-11454.813769086937</v>
      </c>
      <c r="N44" s="77">
        <f t="shared" si="12"/>
        <v>-9564.4900742600112</v>
      </c>
      <c r="O44" s="77">
        <f t="shared" si="12"/>
        <v>-2358.7706047351385</v>
      </c>
      <c r="P44" s="77"/>
      <c r="Q44" s="35">
        <f>Res!Q44</f>
        <v>13</v>
      </c>
      <c r="R44" s="65" t="str">
        <f>Res!R44</f>
        <v>(Over)/Under Ending Balance</v>
      </c>
      <c r="S44" s="77">
        <f>O44</f>
        <v>-2358.7706047351385</v>
      </c>
      <c r="T44" s="77">
        <f t="shared" ref="T44:AE44" si="13">S44+T42+T43</f>
        <v>-2343.7969583884046</v>
      </c>
      <c r="U44" s="77">
        <f t="shared" si="13"/>
        <v>-4031.4077677595983</v>
      </c>
      <c r="V44" s="77">
        <f t="shared" si="13"/>
        <v>-4503.8638002200723</v>
      </c>
      <c r="W44" s="77">
        <f t="shared" si="13"/>
        <v>-4809.5904380436787</v>
      </c>
      <c r="X44" s="77">
        <f t="shared" si="13"/>
        <v>-5321.2111474783942</v>
      </c>
      <c r="Y44" s="77">
        <f t="shared" si="13"/>
        <v>-5597.341352855593</v>
      </c>
      <c r="Z44" s="77">
        <f t="shared" si="13"/>
        <v>-5818.3596643075207</v>
      </c>
      <c r="AA44" s="77">
        <f t="shared" si="13"/>
        <v>-5644.0769123592345</v>
      </c>
      <c r="AB44" s="77">
        <f t="shared" si="13"/>
        <v>-5897.0176919392243</v>
      </c>
      <c r="AC44" s="77">
        <f t="shared" si="13"/>
        <v>-5306.9390750299053</v>
      </c>
      <c r="AD44" s="77">
        <f t="shared" si="13"/>
        <v>-3956.7951396466347</v>
      </c>
      <c r="AE44" s="77">
        <f t="shared" si="13"/>
        <v>-3290.028996010406</v>
      </c>
      <c r="AF44" s="77"/>
      <c r="AG44" s="35">
        <f>Res!AG44</f>
        <v>12</v>
      </c>
      <c r="AH44" s="65" t="str">
        <f>Res!AH44</f>
        <v>(Over)/Under Ending Balance</v>
      </c>
      <c r="AI44" s="77">
        <f>AE44</f>
        <v>-3290.028996010406</v>
      </c>
      <c r="AJ44" s="77">
        <f t="shared" ref="AJ44:AR44" si="14">AI44+AJ42+AJ43</f>
        <v>-1987.2940242898276</v>
      </c>
      <c r="AK44" s="77">
        <f t="shared" si="14"/>
        <v>-1616.3478618254037</v>
      </c>
      <c r="AL44" s="77">
        <f t="shared" si="14"/>
        <v>-1544.7650654789056</v>
      </c>
      <c r="AM44" s="77">
        <f t="shared" si="14"/>
        <v>-1172.5232765628521</v>
      </c>
      <c r="AN44" s="77">
        <f t="shared" si="14"/>
        <v>-799.19164640924987</v>
      </c>
      <c r="AO44" s="77">
        <f t="shared" si="14"/>
        <v>-725.21639825428349</v>
      </c>
      <c r="AP44" s="77">
        <f t="shared" si="14"/>
        <v>-350.57515296252228</v>
      </c>
      <c r="AQ44" s="77">
        <f t="shared" si="14"/>
        <v>25.162958641843137</v>
      </c>
      <c r="AR44" s="77">
        <f t="shared" si="14"/>
        <v>101.55173389048691</v>
      </c>
      <c r="AS44" s="77">
        <f>AR44+AS42+AS43</f>
        <v>478.61357254691643</v>
      </c>
      <c r="AT44" s="77">
        <f>AS44+AT42+AT43</f>
        <v>856.77936447541231</v>
      </c>
      <c r="AU44" s="77">
        <f>AT44+AU42+AU43</f>
        <v>-1.1197709426369329E-12</v>
      </c>
      <c r="AV44" s="77"/>
    </row>
    <row r="45" spans="1:50" x14ac:dyDescent="0.2">
      <c r="A45" s="35">
        <f>Res!A45</f>
        <v>12</v>
      </c>
      <c r="B45" s="65" t="str">
        <f>Res!B45</f>
        <v>Interest Rate Applied to Deferral Balance</v>
      </c>
      <c r="C45" s="78"/>
      <c r="D45" s="79">
        <f>Res!D45</f>
        <v>4.2900000000000001E-2</v>
      </c>
      <c r="E45" s="79">
        <f>Res!E45</f>
        <v>4.3299999999999998E-2</v>
      </c>
      <c r="F45" s="79">
        <f>Res!F45</f>
        <v>4.2500000000000003E-2</v>
      </c>
      <c r="G45" s="79">
        <f>Res!G45</f>
        <v>4.24E-2</v>
      </c>
      <c r="H45" s="79">
        <f>Res!H45</f>
        <v>4.0800000000000003E-2</v>
      </c>
      <c r="I45" s="79">
        <f>Res!I45</f>
        <v>4.53E-2</v>
      </c>
      <c r="J45" s="79">
        <f>Res!J45</f>
        <v>4.41E-2</v>
      </c>
      <c r="K45" s="79">
        <f>Res!K45</f>
        <v>3.9199999999999999E-2</v>
      </c>
      <c r="L45" s="79">
        <f>Res!L45</f>
        <v>4.2200000000000001E-2</v>
      </c>
      <c r="M45" s="79">
        <f>Res!M45</f>
        <v>4.1399999999999999E-2</v>
      </c>
      <c r="N45" s="79">
        <f>Res!N45</f>
        <v>3.78E-2</v>
      </c>
      <c r="O45" s="79">
        <f>Res!O45</f>
        <v>4.1300000000000003E-2</v>
      </c>
      <c r="P45" s="80"/>
      <c r="Q45" s="35">
        <f>Res!Q45</f>
        <v>14</v>
      </c>
      <c r="R45" s="65" t="str">
        <f>Res!R45</f>
        <v>Interest Rate Applied to Deferral Balance</v>
      </c>
      <c r="S45" s="78"/>
      <c r="T45" s="79">
        <f>Res!T45</f>
        <v>3.9600000000000003E-2</v>
      </c>
      <c r="U45" s="79">
        <f>Res!U45</f>
        <v>2.9600000000000001E-2</v>
      </c>
      <c r="V45" s="79">
        <f>Res!V45</f>
        <v>3.8100000000000002E-2</v>
      </c>
      <c r="W45" s="79">
        <f>Res!W45</f>
        <v>3.7199999999999997E-2</v>
      </c>
      <c r="X45" s="79">
        <f>Res!X45</f>
        <v>3.5700000000000003E-2</v>
      </c>
      <c r="Y45" s="79">
        <f>Res!Y45</f>
        <v>3.7100000000000001E-2</v>
      </c>
      <c r="Z45" s="79">
        <f>Res!Z45</f>
        <v>3.5200000000000002E-2</v>
      </c>
      <c r="AA45" s="79">
        <f>Res!AA45</f>
        <v>3.4099999999999998E-2</v>
      </c>
      <c r="AB45" s="79">
        <f>Res!AB45</f>
        <v>3.61E-2</v>
      </c>
      <c r="AC45" s="79">
        <f>Res!AC45</f>
        <v>3.5133333333333329E-2</v>
      </c>
      <c r="AD45" s="79">
        <f>Res!AD45</f>
        <v>3.5133333333333329E-2</v>
      </c>
      <c r="AE45" s="79">
        <f>Res!AE45</f>
        <v>3.5133333333333329E-2</v>
      </c>
      <c r="AF45" s="80"/>
      <c r="AG45" s="35">
        <f>Res!AG45</f>
        <v>13</v>
      </c>
      <c r="AH45" s="65" t="str">
        <f>Res!AH45</f>
        <v>Interest Rate Applied to Deferral Balance</v>
      </c>
      <c r="AI45" s="78"/>
      <c r="AJ45" s="79">
        <f>Res!AJ45</f>
        <v>3.5133333333333329E-2</v>
      </c>
      <c r="AK45" s="79">
        <f>Res!AK45</f>
        <v>3.5133333333333329E-2</v>
      </c>
      <c r="AL45" s="79">
        <f>Res!AL45</f>
        <v>3.5133333333333329E-2</v>
      </c>
      <c r="AM45" s="79">
        <f>Res!AM45</f>
        <v>3.5133333333333329E-2</v>
      </c>
      <c r="AN45" s="79">
        <f>Res!AN45</f>
        <v>3.5133333333333329E-2</v>
      </c>
      <c r="AO45" s="79">
        <f>Res!AO45</f>
        <v>3.5133333333333329E-2</v>
      </c>
      <c r="AP45" s="79">
        <f>Res!AP45</f>
        <v>3.5133333333333329E-2</v>
      </c>
      <c r="AQ45" s="79">
        <f>Res!AQ45</f>
        <v>3.5133333333333329E-2</v>
      </c>
      <c r="AR45" s="79">
        <f>Res!AR45</f>
        <v>3.5133333333333329E-2</v>
      </c>
      <c r="AS45" s="79">
        <f>Res!AS45</f>
        <v>3.5133333333333329E-2</v>
      </c>
      <c r="AT45" s="79">
        <f>Res!AT45</f>
        <v>3.5133333333333329E-2</v>
      </c>
      <c r="AU45" s="79">
        <f>Res!AU45</f>
        <v>3.5133333333333329E-2</v>
      </c>
      <c r="AV45" s="78"/>
    </row>
    <row r="46" spans="1:50" x14ac:dyDescent="0.2">
      <c r="A46" s="35"/>
      <c r="B46" s="81"/>
      <c r="C46" s="8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0"/>
      <c r="Q46" s="35"/>
      <c r="R46" s="81"/>
      <c r="S46" s="80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0"/>
      <c r="AG46" s="35"/>
      <c r="AH46" s="81"/>
      <c r="AI46" s="80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0"/>
    </row>
    <row r="47" spans="1:50" s="81" customFormat="1" x14ac:dyDescent="0.2">
      <c r="A47" s="35"/>
      <c r="B47" s="12" t="str">
        <f>Res!B47</f>
        <v>*Sector portion of revenues are allocated based on forecasted 2024 kWh sales.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5"/>
      <c r="R47" s="12" t="str">
        <f>Res!R47</f>
        <v>*Sector portion of revenues are allocated based on forecasted 2025 kWh sales.</v>
      </c>
      <c r="S47" s="80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0"/>
      <c r="AG47" s="35"/>
      <c r="AH47" s="12" t="str">
        <f>Res!AH47</f>
        <v>*Sector portion of revenues are allocated based on forecasted 2026 kWh sales.</v>
      </c>
      <c r="AI47" s="80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0"/>
    </row>
    <row r="48" spans="1:50" s="81" customFormat="1" x14ac:dyDescent="0.2">
      <c r="A48" s="35"/>
      <c r="B48" s="12" t="str">
        <f>Res!B48</f>
        <v>**Sector portion of revenues are allocated based on greenhouse gas reductions.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5"/>
      <c r="R48" s="12" t="str">
        <f>Res!R48</f>
        <v>**Sector portion of revenues are allocated based on greenhouse gas reductions.</v>
      </c>
      <c r="S48" s="80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0"/>
      <c r="AG48" s="35"/>
      <c r="AH48" s="12" t="str">
        <f>Res!AH48</f>
        <v>**Sector portion of revenues are allocated based on greenhouse gas reductions.</v>
      </c>
      <c r="AI48" s="80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0"/>
    </row>
    <row r="49" spans="1:48" s="81" customFormat="1" x14ac:dyDescent="0.2">
      <c r="A49" s="35"/>
      <c r="B49" s="12" t="str">
        <f>Res!B49</f>
        <v>***Other Revenue represents any RPS and APS credits associated with CVEO participants.</v>
      </c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0"/>
      <c r="Q49" s="35"/>
      <c r="R49" s="12" t="str">
        <f>Res!R49</f>
        <v>***Other Revenue represents any RPS and APS credits associated with CVEO participants.</v>
      </c>
      <c r="S49" s="80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0"/>
      <c r="AG49" s="35"/>
      <c r="AH49" s="12" t="str">
        <f>Res!AH49</f>
        <v>***Other Revenue represents any RPS and APS credits associated with CVEO participants.</v>
      </c>
      <c r="AI49" s="80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0"/>
    </row>
    <row r="50" spans="1:48" s="81" customFormat="1" x14ac:dyDescent="0.2">
      <c r="A50" s="35"/>
      <c r="B50" s="43"/>
      <c r="C50" s="12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92"/>
      <c r="Q50" s="35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68"/>
      <c r="AG50" s="35"/>
      <c r="AI50" s="80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0"/>
    </row>
  </sheetData>
  <mergeCells count="13">
    <mergeCell ref="A25:P25"/>
    <mergeCell ref="Q25:AF25"/>
    <mergeCell ref="AG25:AV25"/>
    <mergeCell ref="AG23:AV23"/>
    <mergeCell ref="A24:P24"/>
    <mergeCell ref="Q24:AF24"/>
    <mergeCell ref="AG24:AV24"/>
    <mergeCell ref="C1:J1"/>
    <mergeCell ref="C2:J2"/>
    <mergeCell ref="C3:J3"/>
    <mergeCell ref="R4:X4"/>
    <mergeCell ref="A23:P23"/>
    <mergeCell ref="Q23:AF23"/>
  </mergeCells>
  <pageMargins left="0.7" right="0.7" top="0.75" bottom="0.75" header="0.3" footer="0.3"/>
  <pageSetup scale="44" fitToWidth="5" orientation="landscape" r:id="rId1"/>
  <headerFooter>
    <oddHeader>&amp;R&amp;"Arial,Regular"&amp;10Cape Light Compact JPE
D.P.U. 25-154
Exhibit 2, EES Calculation
October 31, 2025
Page &amp;P of &amp;N</oddHeader>
  </headerFooter>
  <colBreaks count="3" manualBreakCount="3">
    <brk id="10" max="21" man="1"/>
    <brk id="16" min="22" max="47" man="1"/>
    <brk id="32" min="22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0A65-468E-46D6-9B7C-E03EAE14BA38}">
  <sheetPr codeName="Sheet39"/>
  <dimension ref="A1:AV30"/>
  <sheetViews>
    <sheetView showGridLines="0" zoomScale="90" zoomScaleNormal="90" workbookViewId="0">
      <selection activeCell="I43" sqref="I43"/>
    </sheetView>
  </sheetViews>
  <sheetFormatPr defaultColWidth="9.140625" defaultRowHeight="12.75" x14ac:dyDescent="0.2"/>
  <cols>
    <col min="1" max="1" width="5.5703125" style="35" customWidth="1"/>
    <col min="2" max="2" width="46.28515625" style="12" customWidth="1"/>
    <col min="3" max="10" width="15" style="12" customWidth="1"/>
    <col min="11" max="11" width="16.28515625" style="12" customWidth="1"/>
    <col min="12" max="12" width="18.42578125" style="12" customWidth="1"/>
    <col min="13" max="13" width="18.5703125" style="12" customWidth="1"/>
    <col min="14" max="14" width="17" style="12" customWidth="1"/>
    <col min="15" max="15" width="15.5703125" style="12" customWidth="1"/>
    <col min="16" max="16" width="15" style="12" customWidth="1"/>
    <col min="17" max="17" width="5.5703125" style="12" customWidth="1"/>
    <col min="18" max="18" width="46.28515625" style="12" customWidth="1"/>
    <col min="19" max="26" width="15" style="12" customWidth="1"/>
    <col min="27" max="27" width="16.28515625" style="12" customWidth="1"/>
    <col min="28" max="28" width="18.42578125" style="12" customWidth="1"/>
    <col min="29" max="29" width="18.5703125" style="12" customWidth="1"/>
    <col min="30" max="30" width="17" style="12" customWidth="1"/>
    <col min="31" max="31" width="15.5703125" style="12" customWidth="1"/>
    <col min="32" max="32" width="15" style="12" customWidth="1"/>
    <col min="33" max="33" width="5.5703125" style="12" customWidth="1"/>
    <col min="34" max="34" width="46.28515625" style="12" customWidth="1"/>
    <col min="35" max="42" width="15" style="12" customWidth="1"/>
    <col min="43" max="43" width="16.28515625" style="12" customWidth="1"/>
    <col min="44" max="44" width="18.42578125" style="12" customWidth="1"/>
    <col min="45" max="45" width="18.5703125" style="12" customWidth="1"/>
    <col min="46" max="46" width="17" style="12" customWidth="1"/>
    <col min="47" max="47" width="15.5703125" style="12" customWidth="1"/>
    <col min="48" max="48" width="15" style="12" customWidth="1"/>
    <col min="49" max="49" width="2.5703125" style="12" customWidth="1"/>
    <col min="50" max="50" width="11.140625" style="12" customWidth="1"/>
    <col min="51" max="51" width="14.5703125" style="12" bestFit="1" customWidth="1"/>
    <col min="52" max="16384" width="9.140625" style="12"/>
  </cols>
  <sheetData>
    <row r="1" spans="1:48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 t="s">
        <v>0</v>
      </c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 t="s">
        <v>0</v>
      </c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x14ac:dyDescent="0.2">
      <c r="A2" s="31" t="str">
        <f>Year1-1&amp;" Total Monthly EES Deferral"</f>
        <v>2024 Total Monthly EES Deferral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 t="str">
        <f>Year1&amp;" Total Monthly EES Deferral"</f>
        <v>2025 Total Monthly EES Deferral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 t="str">
        <f>Year2&amp;" Total Monthly EES Deferral"</f>
        <v>2026 Total Monthly EES Deferral</v>
      </c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</row>
    <row r="3" spans="1:48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 t="s">
        <v>1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 t="s">
        <v>1</v>
      </c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x14ac:dyDescent="0.2">
      <c r="A4" s="33"/>
      <c r="B4" s="32"/>
      <c r="C4" s="48" t="s">
        <v>8</v>
      </c>
      <c r="D4" s="70" t="s">
        <v>9</v>
      </c>
      <c r="E4" s="48" t="s">
        <v>10</v>
      </c>
      <c r="F4" s="50" t="s">
        <v>54</v>
      </c>
      <c r="G4" s="51" t="s">
        <v>55</v>
      </c>
      <c r="H4" s="50" t="s">
        <v>56</v>
      </c>
      <c r="I4" s="50" t="s">
        <v>57</v>
      </c>
      <c r="J4" s="50" t="s">
        <v>58</v>
      </c>
      <c r="K4" s="50" t="s">
        <v>74</v>
      </c>
      <c r="L4" s="71" t="s">
        <v>75</v>
      </c>
      <c r="M4" s="71" t="s">
        <v>76</v>
      </c>
      <c r="N4" s="71" t="s">
        <v>77</v>
      </c>
      <c r="O4" s="71" t="s">
        <v>78</v>
      </c>
      <c r="P4" s="71" t="s">
        <v>79</v>
      </c>
      <c r="Q4" s="33"/>
      <c r="R4" s="32"/>
      <c r="S4" s="48" t="s">
        <v>8</v>
      </c>
      <c r="T4" s="70" t="s">
        <v>9</v>
      </c>
      <c r="U4" s="48" t="s">
        <v>10</v>
      </c>
      <c r="V4" s="50" t="s">
        <v>54</v>
      </c>
      <c r="W4" s="51" t="s">
        <v>55</v>
      </c>
      <c r="X4" s="50" t="s">
        <v>56</v>
      </c>
      <c r="Y4" s="50" t="s">
        <v>57</v>
      </c>
      <c r="Z4" s="50" t="s">
        <v>58</v>
      </c>
      <c r="AA4" s="50" t="s">
        <v>74</v>
      </c>
      <c r="AB4" s="71" t="s">
        <v>75</v>
      </c>
      <c r="AC4" s="71" t="s">
        <v>76</v>
      </c>
      <c r="AD4" s="71" t="s">
        <v>77</v>
      </c>
      <c r="AE4" s="71" t="s">
        <v>78</v>
      </c>
      <c r="AF4" s="71" t="s">
        <v>79</v>
      </c>
      <c r="AG4" s="33"/>
      <c r="AH4" s="32"/>
      <c r="AI4" s="48" t="s">
        <v>8</v>
      </c>
      <c r="AJ4" s="70" t="s">
        <v>9</v>
      </c>
      <c r="AK4" s="48" t="s">
        <v>10</v>
      </c>
      <c r="AL4" s="50" t="s">
        <v>54</v>
      </c>
      <c r="AM4" s="51" t="s">
        <v>55</v>
      </c>
      <c r="AN4" s="50" t="s">
        <v>56</v>
      </c>
      <c r="AO4" s="50" t="s">
        <v>57</v>
      </c>
      <c r="AP4" s="50" t="s">
        <v>58</v>
      </c>
      <c r="AQ4" s="50" t="s">
        <v>74</v>
      </c>
      <c r="AR4" s="71" t="s">
        <v>75</v>
      </c>
      <c r="AS4" s="71" t="s">
        <v>76</v>
      </c>
      <c r="AT4" s="71" t="s">
        <v>77</v>
      </c>
      <c r="AU4" s="71" t="s">
        <v>78</v>
      </c>
      <c r="AV4" s="71" t="s">
        <v>79</v>
      </c>
    </row>
    <row r="5" spans="1:48" x14ac:dyDescent="0.2">
      <c r="C5" s="48" t="str">
        <f>Res!C27</f>
        <v>Actual</v>
      </c>
      <c r="D5" s="48" t="str">
        <f>Res!D27</f>
        <v>Actual</v>
      </c>
      <c r="E5" s="48" t="str">
        <f>Res!E27</f>
        <v>Actual</v>
      </c>
      <c r="F5" s="48" t="str">
        <f>Res!F27</f>
        <v>Actual</v>
      </c>
      <c r="G5" s="48" t="str">
        <f>Res!G27</f>
        <v>Actual</v>
      </c>
      <c r="H5" s="48" t="str">
        <f>Res!H27</f>
        <v>Actual</v>
      </c>
      <c r="I5" s="48" t="str">
        <f>Res!I27</f>
        <v>Actual</v>
      </c>
      <c r="J5" s="48" t="str">
        <f>Res!J27</f>
        <v>Actual</v>
      </c>
      <c r="K5" s="48" t="str">
        <f>Res!K27</f>
        <v>Actual</v>
      </c>
      <c r="L5" s="48" t="str">
        <f>Res!L27</f>
        <v>Actual</v>
      </c>
      <c r="M5" s="48" t="str">
        <f>Res!M27</f>
        <v>Actual</v>
      </c>
      <c r="N5" s="48" t="str">
        <f>Res!N27</f>
        <v>Actual</v>
      </c>
      <c r="O5" s="48" t="str">
        <f>Res!O27</f>
        <v>Actual</v>
      </c>
      <c r="P5" s="48"/>
      <c r="Q5" s="35"/>
      <c r="S5" s="48" t="str">
        <f>Res!S27</f>
        <v>Actual</v>
      </c>
      <c r="T5" s="48" t="str">
        <f>Res!T27</f>
        <v>Actual</v>
      </c>
      <c r="U5" s="48" t="str">
        <f>Res!U27</f>
        <v>Actual</v>
      </c>
      <c r="V5" s="48" t="str">
        <f>Res!V27</f>
        <v>Actual</v>
      </c>
      <c r="W5" s="48" t="str">
        <f>Res!W27</f>
        <v>Actual</v>
      </c>
      <c r="X5" s="48" t="str">
        <f>Res!X27</f>
        <v>Actual</v>
      </c>
      <c r="Y5" s="48" t="str">
        <f>Res!Y27</f>
        <v>Actual</v>
      </c>
      <c r="Z5" s="48" t="str">
        <f>Res!Z27</f>
        <v>Actual</v>
      </c>
      <c r="AA5" s="48" t="str">
        <f>Res!AA27</f>
        <v>Actual</v>
      </c>
      <c r="AB5" s="48" t="str">
        <f>Res!AB27</f>
        <v>Actual</v>
      </c>
      <c r="AC5" s="48" t="str">
        <f>Res!AC27</f>
        <v>Planned</v>
      </c>
      <c r="AD5" s="48" t="str">
        <f>Res!AD27</f>
        <v>Planned</v>
      </c>
      <c r="AE5" s="48" t="str">
        <f>Res!AE27</f>
        <v>Planned</v>
      </c>
      <c r="AF5" s="48"/>
      <c r="AG5" s="35"/>
      <c r="AI5" s="48" t="str">
        <f>Res!AI27</f>
        <v>Planned</v>
      </c>
      <c r="AJ5" s="48" t="str">
        <f>Res!AJ27</f>
        <v>Planned</v>
      </c>
      <c r="AK5" s="48" t="str">
        <f>Res!AK27</f>
        <v>Planned</v>
      </c>
      <c r="AL5" s="48" t="str">
        <f>Res!AL27</f>
        <v>Planned</v>
      </c>
      <c r="AM5" s="48" t="str">
        <f>Res!AM27</f>
        <v>Planned</v>
      </c>
      <c r="AN5" s="48" t="str">
        <f>Res!AN27</f>
        <v>Planned</v>
      </c>
      <c r="AO5" s="48" t="str">
        <f>Res!AO27</f>
        <v>Planned</v>
      </c>
      <c r="AP5" s="48" t="str">
        <f>Res!AP27</f>
        <v>Planned</v>
      </c>
      <c r="AQ5" s="48" t="str">
        <f>Res!AQ27</f>
        <v>Planned</v>
      </c>
      <c r="AR5" s="48" t="str">
        <f>Res!AR27</f>
        <v>Planned</v>
      </c>
      <c r="AS5" s="48" t="str">
        <f>Res!AS27</f>
        <v>Planned</v>
      </c>
      <c r="AT5" s="48" t="str">
        <f>Res!AT27</f>
        <v>Planned</v>
      </c>
      <c r="AU5" s="48" t="str">
        <f>Res!AU27</f>
        <v>Planned</v>
      </c>
      <c r="AV5" s="48"/>
    </row>
    <row r="6" spans="1:48" ht="15" x14ac:dyDescent="0.35">
      <c r="A6" s="72" t="s">
        <v>2</v>
      </c>
      <c r="B6" s="73" t="s">
        <v>81</v>
      </c>
      <c r="C6" s="72">
        <f>Res!C28</f>
        <v>45261</v>
      </c>
      <c r="D6" s="72">
        <f>Res!D28</f>
        <v>45292</v>
      </c>
      <c r="E6" s="72">
        <f>Res!E28</f>
        <v>45323</v>
      </c>
      <c r="F6" s="72">
        <f>Res!F28</f>
        <v>45352</v>
      </c>
      <c r="G6" s="72">
        <f>Res!G28</f>
        <v>45383</v>
      </c>
      <c r="H6" s="72">
        <f>Res!H28</f>
        <v>45413</v>
      </c>
      <c r="I6" s="72">
        <f>Res!I28</f>
        <v>45444</v>
      </c>
      <c r="J6" s="72">
        <f>Res!J28</f>
        <v>45474</v>
      </c>
      <c r="K6" s="72">
        <f>Res!K28</f>
        <v>45505</v>
      </c>
      <c r="L6" s="72">
        <f>Res!L28</f>
        <v>45536</v>
      </c>
      <c r="M6" s="72">
        <f>Res!M28</f>
        <v>45566</v>
      </c>
      <c r="N6" s="72">
        <f>Res!N28</f>
        <v>45597</v>
      </c>
      <c r="O6" s="72">
        <f>Res!O28</f>
        <v>45627</v>
      </c>
      <c r="P6" s="72" t="s">
        <v>46</v>
      </c>
      <c r="Q6" s="72" t="s">
        <v>2</v>
      </c>
      <c r="R6" s="73" t="s">
        <v>81</v>
      </c>
      <c r="S6" s="72">
        <f>Res!S28</f>
        <v>45627</v>
      </c>
      <c r="T6" s="72">
        <f>Res!T28</f>
        <v>45658</v>
      </c>
      <c r="U6" s="72">
        <f>Res!U28</f>
        <v>45689</v>
      </c>
      <c r="V6" s="72">
        <f>Res!V28</f>
        <v>45717</v>
      </c>
      <c r="W6" s="72">
        <f>Res!W28</f>
        <v>45748</v>
      </c>
      <c r="X6" s="72">
        <f>Res!X28</f>
        <v>45778</v>
      </c>
      <c r="Y6" s="72">
        <f>Res!Y28</f>
        <v>45809</v>
      </c>
      <c r="Z6" s="72">
        <f>Res!Z28</f>
        <v>45839</v>
      </c>
      <c r="AA6" s="72">
        <f>Res!AA28</f>
        <v>45870</v>
      </c>
      <c r="AB6" s="72">
        <f>Res!AB28</f>
        <v>45901</v>
      </c>
      <c r="AC6" s="72">
        <f>Res!AC28</f>
        <v>45931</v>
      </c>
      <c r="AD6" s="72">
        <f>Res!AD28</f>
        <v>45962</v>
      </c>
      <c r="AE6" s="72">
        <f>Res!AE28</f>
        <v>45992</v>
      </c>
      <c r="AF6" s="72" t="s">
        <v>46</v>
      </c>
      <c r="AG6" s="72" t="s">
        <v>2</v>
      </c>
      <c r="AH6" s="73" t="s">
        <v>81</v>
      </c>
      <c r="AI6" s="72">
        <f>Res!AI28</f>
        <v>45992</v>
      </c>
      <c r="AJ6" s="72">
        <f>Res!AJ28</f>
        <v>46023</v>
      </c>
      <c r="AK6" s="72">
        <f>Res!AK28</f>
        <v>46054</v>
      </c>
      <c r="AL6" s="72">
        <f>Res!AL28</f>
        <v>46083</v>
      </c>
      <c r="AM6" s="72">
        <f>Res!AM28</f>
        <v>46114</v>
      </c>
      <c r="AN6" s="72">
        <f>Res!AN28</f>
        <v>46144</v>
      </c>
      <c r="AO6" s="72">
        <f>Res!AO28</f>
        <v>46175</v>
      </c>
      <c r="AP6" s="72">
        <f>Res!AP28</f>
        <v>46205</v>
      </c>
      <c r="AQ6" s="72">
        <f>Res!AQ28</f>
        <v>46236</v>
      </c>
      <c r="AR6" s="72">
        <f>Res!AR28</f>
        <v>46267</v>
      </c>
      <c r="AS6" s="72">
        <f>Res!AS28</f>
        <v>46297</v>
      </c>
      <c r="AT6" s="72">
        <f>Res!AT28</f>
        <v>46328</v>
      </c>
      <c r="AU6" s="72">
        <f>Res!AU28</f>
        <v>46358</v>
      </c>
      <c r="AV6" s="72" t="s">
        <v>46</v>
      </c>
    </row>
    <row r="7" spans="1:48" x14ac:dyDescent="0.2">
      <c r="Q7" s="35"/>
      <c r="AG7" s="35"/>
    </row>
    <row r="8" spans="1:48" x14ac:dyDescent="0.2">
      <c r="A8" s="35">
        <f>Res!A30</f>
        <v>1</v>
      </c>
      <c r="B8" s="65" t="str">
        <f>Res!B30</f>
        <v>SBC Revenues</v>
      </c>
      <c r="C8" s="74"/>
      <c r="D8" s="75">
        <f>LI!D30+Res!D30+CI!D30</f>
        <v>0</v>
      </c>
      <c r="E8" s="75">
        <f>LI!E30+Res!E30+CI!E30</f>
        <v>-400.04399999999998</v>
      </c>
      <c r="F8" s="75">
        <f>LI!F30+Res!F30+CI!F30</f>
        <v>-400.04399999999998</v>
      </c>
      <c r="G8" s="75">
        <f>LI!G30+Res!G30+CI!G30</f>
        <v>-400.04399999999998</v>
      </c>
      <c r="H8" s="75">
        <f>LI!H30+Res!H30+CI!H30</f>
        <v>-400.04399999999998</v>
      </c>
      <c r="I8" s="75">
        <f>LI!I30+Res!I30+CI!I30</f>
        <v>-400.04399999999998</v>
      </c>
      <c r="J8" s="75">
        <f>LI!J30+Res!J30+CI!J30</f>
        <v>-400.04399999999998</v>
      </c>
      <c r="K8" s="75">
        <f>LI!K30+Res!K30+CI!K30</f>
        <v>-400.04399999999998</v>
      </c>
      <c r="L8" s="75">
        <f>LI!L30+Res!L30+CI!L30</f>
        <v>-800.08799999999997</v>
      </c>
      <c r="M8" s="75">
        <f>LI!M30+Res!M30+CI!M30</f>
        <v>-200.02199999999999</v>
      </c>
      <c r="N8" s="75">
        <f>LI!N30+Res!N30+CI!N30</f>
        <v>-400.04399999999998</v>
      </c>
      <c r="O8" s="75">
        <f>LI!O30+Res!O30+CI!O30</f>
        <v>-661.77576000000067</v>
      </c>
      <c r="P8" s="75">
        <f t="shared" ref="P8:P14" si="0">SUM(D8:O8)</f>
        <v>-4862.23776</v>
      </c>
      <c r="Q8" s="35">
        <v>1</v>
      </c>
      <c r="R8" s="65" t="str">
        <f>Res!R30</f>
        <v>SBC Revenues</v>
      </c>
      <c r="S8" s="74"/>
      <c r="T8" s="75">
        <f>LI!T30+Res!T30+CI!T30</f>
        <v>0</v>
      </c>
      <c r="U8" s="75">
        <f>LI!U30+Res!U30+CI!U30</f>
        <v>-396.77</v>
      </c>
      <c r="V8" s="75">
        <f>LI!V30+Res!V30+CI!V30</f>
        <v>-396.77</v>
      </c>
      <c r="W8" s="75">
        <f>LI!W30+Res!W30+CI!W30</f>
        <v>-396.77</v>
      </c>
      <c r="X8" s="75">
        <f>LI!X30+Res!X30+CI!X30</f>
        <v>-396.77</v>
      </c>
      <c r="Y8" s="75">
        <f>LI!Y30+Res!Y30+CI!Y30</f>
        <v>-396.77</v>
      </c>
      <c r="Z8" s="75">
        <f>LI!Z30+Res!Z30+CI!Z30</f>
        <v>-396.77</v>
      </c>
      <c r="AA8" s="75">
        <f>LI!AA30+Res!AA30+CI!AA30</f>
        <v>-422.76199999999994</v>
      </c>
      <c r="AB8" s="75">
        <f>LI!AB30+Res!AB30+CI!AB30</f>
        <v>-422.76199999999994</v>
      </c>
      <c r="AC8" s="75">
        <f>LI!AC30+Res!AC30+CI!AC30</f>
        <v>-422.76350142879505</v>
      </c>
      <c r="AD8" s="75">
        <f>LI!AD30+Res!AD30+CI!AD30</f>
        <v>-422.76350142879505</v>
      </c>
      <c r="AE8" s="75">
        <f>LI!AE30+Res!AE30+CI!AE30</f>
        <v>-845.52700285759011</v>
      </c>
      <c r="AF8" s="75">
        <f t="shared" ref="AF8:AF13" si="1">SUM(T8:AE8)</f>
        <v>-4917.1980057151795</v>
      </c>
      <c r="AG8" s="35">
        <v>1</v>
      </c>
      <c r="AH8" s="65" t="str">
        <f>Res!AH30</f>
        <v>SBC Revenues</v>
      </c>
      <c r="AI8" s="74"/>
      <c r="AJ8" s="75">
        <f>LI!AJ30+Res!AJ30+CI!AJ30</f>
        <v>0</v>
      </c>
      <c r="AK8" s="75">
        <f>LI!AK30+Res!AK30+CI!AK30</f>
        <v>-442.48755470164855</v>
      </c>
      <c r="AL8" s="75">
        <f>LI!AL30+Res!AL30+CI!AL30</f>
        <v>-442.48755470164855</v>
      </c>
      <c r="AM8" s="75">
        <f>LI!AM30+Res!AM30+CI!AM30</f>
        <v>-442.48755470164855</v>
      </c>
      <c r="AN8" s="75">
        <f>LI!AN30+Res!AN30+CI!AN30</f>
        <v>-442.48755470164855</v>
      </c>
      <c r="AO8" s="75">
        <f>LI!AO30+Res!AO30+CI!AO30</f>
        <v>-442.48755470164855</v>
      </c>
      <c r="AP8" s="75">
        <f>LI!AP30+Res!AP30+CI!AP30</f>
        <v>-442.48755470164855</v>
      </c>
      <c r="AQ8" s="75">
        <f>LI!AQ30+Res!AQ30+CI!AQ30</f>
        <v>-442.48755470164855</v>
      </c>
      <c r="AR8" s="75">
        <f>LI!AR30+Res!AR30+CI!AR30</f>
        <v>-442.48755470164855</v>
      </c>
      <c r="AS8" s="75">
        <f>LI!AS30+Res!AS30+CI!AS30</f>
        <v>-442.48755470164855</v>
      </c>
      <c r="AT8" s="75">
        <f>LI!AT30+Res!AT30+CI!AT30</f>
        <v>-442.48755470164855</v>
      </c>
      <c r="AU8" s="75">
        <f>LI!AU30+Res!AU30+CI!AU30</f>
        <v>-884.9751094032971</v>
      </c>
      <c r="AV8" s="75">
        <f t="shared" ref="AV8:AV18" si="2">SUM(AJ8:AU8)</f>
        <v>-5309.8506564197824</v>
      </c>
    </row>
    <row r="9" spans="1:48" x14ac:dyDescent="0.2">
      <c r="A9" s="35">
        <f>Res!A31</f>
        <v>2</v>
      </c>
      <c r="B9" s="65" t="str">
        <f>Res!B31</f>
        <v>EES Revenues, 1/1/2024-6/30/2024</v>
      </c>
      <c r="C9" s="74"/>
      <c r="D9" s="75">
        <f>LI!D31+Res!D31+CI!D31</f>
        <v>0</v>
      </c>
      <c r="E9" s="75">
        <f>LI!E31+Res!E31+CI!E31</f>
        <v>-2639.35</v>
      </c>
      <c r="F9" s="75">
        <f>LI!F31+Res!F31+CI!F31</f>
        <v>-2639.35</v>
      </c>
      <c r="G9" s="75">
        <f>LI!G31+Res!G31+CI!G31</f>
        <v>-2639.35</v>
      </c>
      <c r="H9" s="75">
        <f>LI!H31+Res!H31+CI!H31</f>
        <v>-2639.35</v>
      </c>
      <c r="I9" s="75">
        <f>LI!I31+Res!I31+CI!I31</f>
        <v>-2639.35</v>
      </c>
      <c r="J9" s="75">
        <f>LI!J31+Res!J31+CI!J31</f>
        <v>-2639.35</v>
      </c>
      <c r="K9" s="75">
        <f>LI!K31+Res!K31+CI!K31</f>
        <v>0</v>
      </c>
      <c r="L9" s="75">
        <f>LI!L31+Res!L31+CI!L31</f>
        <v>0</v>
      </c>
      <c r="M9" s="75">
        <f>LI!M31+Res!M31+CI!M31</f>
        <v>0</v>
      </c>
      <c r="N9" s="75">
        <f>LI!N31+Res!N31+CI!N31</f>
        <v>0</v>
      </c>
      <c r="O9" s="75">
        <f>LI!O31+Res!O31+CI!O31</f>
        <v>0</v>
      </c>
      <c r="P9" s="96">
        <f t="shared" si="0"/>
        <v>-15836.1</v>
      </c>
      <c r="Q9" s="35">
        <v>2</v>
      </c>
      <c r="R9" s="65" t="str">
        <f>Res!R31</f>
        <v>EES Revenues, 1/1/2025-6/30/2025</v>
      </c>
      <c r="S9" s="74"/>
      <c r="T9" s="75">
        <f>LI!T31+Res!T31+CI!T31</f>
        <v>0</v>
      </c>
      <c r="U9" s="75">
        <f>LI!U31+Res!U31+CI!U31</f>
        <v>-7270.2759999999998</v>
      </c>
      <c r="V9" s="75">
        <f>LI!V31+Res!V31+CI!V31</f>
        <v>-7270.2759999999998</v>
      </c>
      <c r="W9" s="75">
        <f>LI!W31+Res!W31+CI!W31</f>
        <v>-7270.2759999999998</v>
      </c>
      <c r="X9" s="75">
        <f>LI!X31+Res!X31+CI!X31</f>
        <v>-7270.2759999999998</v>
      </c>
      <c r="Y9" s="75">
        <f>LI!Y31+Res!Y31+CI!Y31</f>
        <v>-7270.2759999999998</v>
      </c>
      <c r="Z9" s="75">
        <f>LI!Z31+Res!Z31+CI!Z31</f>
        <v>-7270.2759999999998</v>
      </c>
      <c r="AA9" s="75">
        <f>LI!AA31+Res!AA31+CI!AA31</f>
        <v>0</v>
      </c>
      <c r="AB9" s="75">
        <f>LI!AB31+Res!AB31+CI!AB31</f>
        <v>0</v>
      </c>
      <c r="AC9" s="75">
        <f>LI!AC31+Res!AC31+CI!AC31</f>
        <v>0</v>
      </c>
      <c r="AD9" s="75">
        <f>LI!AD31+Res!AD31+CI!AD31</f>
        <v>0</v>
      </c>
      <c r="AE9" s="75">
        <f>LI!AE31+Res!AE31+CI!AE31</f>
        <v>0</v>
      </c>
      <c r="AF9" s="75">
        <f t="shared" si="1"/>
        <v>-43621.655999999995</v>
      </c>
      <c r="AG9" s="35">
        <f t="shared" ref="AG9:AG14" si="3">AG8+1</f>
        <v>2</v>
      </c>
      <c r="AH9" s="65" t="str">
        <f>Res!AH31</f>
        <v>EES Revenues</v>
      </c>
      <c r="AI9" s="74"/>
      <c r="AJ9" s="75">
        <f>LI!AJ31+Res!AJ31+CI!AJ31</f>
        <v>0</v>
      </c>
      <c r="AK9" s="75">
        <f>LI!AK31+Res!AK31+CI!AK31</f>
        <v>-5635.1003438403004</v>
      </c>
      <c r="AL9" s="75">
        <f>LI!AL31+Res!AL31+CI!AL31</f>
        <v>-5635.1003438403004</v>
      </c>
      <c r="AM9" s="75">
        <f>LI!AM31+Res!AM31+CI!AM31</f>
        <v>-5635.1003438403004</v>
      </c>
      <c r="AN9" s="75">
        <f>LI!AN31+Res!AN31+CI!AN31</f>
        <v>-5635.1003438403004</v>
      </c>
      <c r="AO9" s="75">
        <f>LI!AO31+Res!AO31+CI!AO31</f>
        <v>-5635.1003438403004</v>
      </c>
      <c r="AP9" s="75">
        <f>LI!AP31+Res!AP31+CI!AP31</f>
        <v>-5635.1003438403004</v>
      </c>
      <c r="AQ9" s="75">
        <f>LI!AQ31+Res!AQ31+CI!AQ31</f>
        <v>-5635.1003438403004</v>
      </c>
      <c r="AR9" s="75">
        <f>LI!AR31+Res!AR31+CI!AR31</f>
        <v>-5635.1003438403004</v>
      </c>
      <c r="AS9" s="75">
        <f>LI!AS31+Res!AS31+CI!AS31</f>
        <v>-5635.1003438403004</v>
      </c>
      <c r="AT9" s="75">
        <f>LI!AT31+Res!AT31+CI!AT31</f>
        <v>-5635.1003438403004</v>
      </c>
      <c r="AU9" s="75">
        <f>LI!AU31+Res!AU31+CI!AU31</f>
        <v>-11270.200687680601</v>
      </c>
      <c r="AV9" s="75">
        <f t="shared" si="2"/>
        <v>-67621.204126083598</v>
      </c>
    </row>
    <row r="10" spans="1:48" x14ac:dyDescent="0.2">
      <c r="A10" s="35">
        <f>Res!A32</f>
        <v>3</v>
      </c>
      <c r="B10" s="65" t="str">
        <f>Res!B32</f>
        <v>EES Revenues, 7/1/2024-12/31/2024</v>
      </c>
      <c r="C10" s="74"/>
      <c r="D10" s="75">
        <f>LI!D32+Res!D32+CI!D32</f>
        <v>0</v>
      </c>
      <c r="E10" s="75">
        <f>LI!E32+Res!E32+CI!E32</f>
        <v>0</v>
      </c>
      <c r="F10" s="75">
        <f>LI!F32+Res!F32+CI!F32</f>
        <v>0</v>
      </c>
      <c r="G10" s="75">
        <f>LI!G32+Res!G32+CI!G32</f>
        <v>0</v>
      </c>
      <c r="H10" s="75">
        <f>LI!H32+Res!H32+CI!H32</f>
        <v>0</v>
      </c>
      <c r="I10" s="75">
        <f>LI!I32+Res!I32+CI!I32</f>
        <v>0</v>
      </c>
      <c r="J10" s="75">
        <f>LI!J32+Res!J32+CI!J32</f>
        <v>0</v>
      </c>
      <c r="K10" s="75">
        <f>LI!K32+Res!K32+CI!K32</f>
        <v>-2639.3500000000004</v>
      </c>
      <c r="L10" s="75">
        <f>LI!L32+Res!L32+CI!L32</f>
        <v>-10086.977999999999</v>
      </c>
      <c r="M10" s="75">
        <f>LI!M32+Res!M32+CI!M32</f>
        <v>-2585.27</v>
      </c>
      <c r="N10" s="75">
        <f>LI!N32+Res!N32+CI!N32</f>
        <v>-5170.54</v>
      </c>
      <c r="O10" s="75">
        <f>LI!O32+Res!O32+CI!O32</f>
        <v>-9337.3783900000017</v>
      </c>
      <c r="P10" s="96">
        <f t="shared" si="0"/>
        <v>-29819.516390000001</v>
      </c>
      <c r="Q10" s="35">
        <v>3</v>
      </c>
      <c r="R10" s="65" t="str">
        <f>Res!R32</f>
        <v>EES Revenues, 7/1/2025-12/31/2025</v>
      </c>
      <c r="S10" s="74"/>
      <c r="T10" s="75">
        <f>LI!T32+Res!T32+CI!T32</f>
        <v>0</v>
      </c>
      <c r="U10" s="75">
        <f>LI!U32+Res!U32+CI!U32</f>
        <v>0</v>
      </c>
      <c r="V10" s="75">
        <f>LI!V32+Res!V32+CI!V32</f>
        <v>0</v>
      </c>
      <c r="W10" s="75">
        <f>LI!W32+Res!W32+CI!W32</f>
        <v>0</v>
      </c>
      <c r="X10" s="75">
        <f>LI!X32+Res!X32+CI!X32</f>
        <v>0</v>
      </c>
      <c r="Y10" s="75">
        <f>LI!Y32+Res!Y32+CI!Y32</f>
        <v>0</v>
      </c>
      <c r="Z10" s="75">
        <f>LI!Z32+Res!Z32+CI!Z32</f>
        <v>0</v>
      </c>
      <c r="AA10" s="75">
        <f>LI!AA32+Res!AA32+CI!AA32</f>
        <v>-5402.6819999999998</v>
      </c>
      <c r="AB10" s="75">
        <f>LI!AB32+Res!AB32+CI!AB32</f>
        <v>-5402.6819999999998</v>
      </c>
      <c r="AC10" s="75">
        <f>LI!AC32+Res!AC32+CI!AC32</f>
        <v>-5402.6822117939719</v>
      </c>
      <c r="AD10" s="75">
        <f>LI!AD32+Res!AD32+CI!AD32</f>
        <v>-5402.6822117939719</v>
      </c>
      <c r="AE10" s="75">
        <f>LI!AE32+Res!AE32+CI!AE32</f>
        <v>-10805.364423587944</v>
      </c>
      <c r="AF10" s="75">
        <f>SUM(T10:AE10)</f>
        <v>-32416.092847175885</v>
      </c>
      <c r="AG10" s="35"/>
      <c r="AH10" s="65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</row>
    <row r="11" spans="1:48" x14ac:dyDescent="0.2">
      <c r="A11" s="35">
        <f>Res!A33</f>
        <v>4</v>
      </c>
      <c r="B11" s="65" t="str">
        <f>Res!B33</f>
        <v>FCM Revenues*</v>
      </c>
      <c r="C11" s="74"/>
      <c r="D11" s="75">
        <f>LI!D33+Res!D33+CI!D33</f>
        <v>-74.984490000000022</v>
      </c>
      <c r="E11" s="75">
        <f>LI!E33+Res!E33+CI!E33</f>
        <v>-123.52578</v>
      </c>
      <c r="F11" s="75">
        <f>LI!F33+Res!F33+CI!F33</f>
        <v>-133.4821</v>
      </c>
      <c r="G11" s="75">
        <f>LI!G33+Res!G33+CI!G33</f>
        <v>-151.06935000000004</v>
      </c>
      <c r="H11" s="75">
        <f>LI!H33+Res!H33+CI!H33</f>
        <v>-115.62978000000001</v>
      </c>
      <c r="I11" s="75">
        <f>LI!I33+Res!I33+CI!I33</f>
        <v>-190.47018000000003</v>
      </c>
      <c r="J11" s="75">
        <f>LI!J33+Res!J33+CI!J33</f>
        <v>-242.25083999999998</v>
      </c>
      <c r="K11" s="75">
        <f>LI!K33+Res!K33+CI!K33</f>
        <v>-260.03449999999992</v>
      </c>
      <c r="L11" s="75">
        <f>LI!L33+Res!L33+CI!L33</f>
        <v>-230.37866</v>
      </c>
      <c r="M11" s="75">
        <f>LI!M33+Res!M33+CI!M33</f>
        <v>-239.65333999999996</v>
      </c>
      <c r="N11" s="75">
        <f>LI!N33+Res!N33+CI!N33</f>
        <v>-213.47406999999998</v>
      </c>
      <c r="O11" s="75">
        <f>LI!O33+Res!O33+CI!O33</f>
        <v>-371.84336000000002</v>
      </c>
      <c r="P11" s="96">
        <f>SUM(D11:O11)</f>
        <v>-2346.7964500000003</v>
      </c>
      <c r="Q11" s="35">
        <v>4</v>
      </c>
      <c r="R11" s="65" t="str">
        <f>Res!R33</f>
        <v>FCM Revenues*</v>
      </c>
      <c r="S11" s="74"/>
      <c r="T11" s="75">
        <f>LI!T33+Res!T33+CI!T33</f>
        <v>-155.21151999999995</v>
      </c>
      <c r="U11" s="75">
        <f>LI!U33+Res!U33+CI!U33</f>
        <v>-232.77328999999995</v>
      </c>
      <c r="V11" s="75">
        <f>LI!V33+Res!V33+CI!V33</f>
        <v>-226.72203999999996</v>
      </c>
      <c r="W11" s="75">
        <f>LI!W33+Res!W33+CI!W33</f>
        <v>-216.57992999999993</v>
      </c>
      <c r="X11" s="75">
        <f>LI!X33+Res!X33+CI!X33</f>
        <v>-230.40447999999998</v>
      </c>
      <c r="Y11" s="75">
        <f>LI!Y33+Res!Y33+CI!Y33</f>
        <v>-195.14281999999997</v>
      </c>
      <c r="Z11" s="75">
        <f>LI!Z33+Res!Z33+CI!Z33</f>
        <v>-131.95591999999999</v>
      </c>
      <c r="AA11" s="75">
        <f>LI!AA33+Res!AA33+CI!AA33</f>
        <v>-135.92198000000002</v>
      </c>
      <c r="AB11" s="75">
        <f>LI!AB33+Res!AB33+CI!AB33</f>
        <v>-128.23421999999997</v>
      </c>
      <c r="AC11" s="75">
        <f>LI!AC33+Res!AC33+CI!AC33</f>
        <v>-108.35176000000007</v>
      </c>
      <c r="AD11" s="75">
        <f>LI!AD33+Res!AD33+CI!AD33</f>
        <v>-108.35176000000007</v>
      </c>
      <c r="AE11" s="75">
        <f>LI!AE33+Res!AE33+CI!AE33</f>
        <v>-108.35176000000007</v>
      </c>
      <c r="AF11" s="75">
        <f t="shared" si="1"/>
        <v>-1978.0014800000001</v>
      </c>
      <c r="AG11" s="35">
        <f>AG9+1</f>
        <v>3</v>
      </c>
      <c r="AH11" s="65" t="str">
        <f>Res!AH33</f>
        <v>FCM Revenues*</v>
      </c>
      <c r="AI11" s="74"/>
      <c r="AJ11" s="75">
        <f>LI!AJ33+Res!AJ33+CI!AJ33</f>
        <v>-97.711557499999998</v>
      </c>
      <c r="AK11" s="75">
        <f>LI!AK33+Res!AK33+CI!AK33</f>
        <v>-97.711557499999998</v>
      </c>
      <c r="AL11" s="75">
        <f>LI!AL33+Res!AL33+CI!AL33</f>
        <v>-97.711557499999998</v>
      </c>
      <c r="AM11" s="75">
        <f>LI!AM33+Res!AM33+CI!AM33</f>
        <v>-97.711557499999998</v>
      </c>
      <c r="AN11" s="75">
        <f>LI!AN33+Res!AN33+CI!AN33</f>
        <v>-97.711557499999998</v>
      </c>
      <c r="AO11" s="75">
        <f>LI!AO33+Res!AO33+CI!AO33</f>
        <v>-97.711557499999998</v>
      </c>
      <c r="AP11" s="75">
        <f>LI!AP33+Res!AP33+CI!AP33</f>
        <v>-97.711557499999998</v>
      </c>
      <c r="AQ11" s="75">
        <f>LI!AQ33+Res!AQ33+CI!AQ33</f>
        <v>-97.711557499999998</v>
      </c>
      <c r="AR11" s="75">
        <f>LI!AR33+Res!AR33+CI!AR33</f>
        <v>-97.711557499999998</v>
      </c>
      <c r="AS11" s="75">
        <f>LI!AS33+Res!AS33+CI!AS33</f>
        <v>-97.711557499999998</v>
      </c>
      <c r="AT11" s="75">
        <f>LI!AT33+Res!AT33+CI!AT33</f>
        <v>-97.711557499999998</v>
      </c>
      <c r="AU11" s="75">
        <f>LI!AU33+Res!AU33+CI!AU33</f>
        <v>-97.711557499999998</v>
      </c>
      <c r="AV11" s="75">
        <f t="shared" si="2"/>
        <v>-1172.5386900000001</v>
      </c>
    </row>
    <row r="12" spans="1:48" x14ac:dyDescent="0.2">
      <c r="A12" s="35">
        <f>Res!A34</f>
        <v>5</v>
      </c>
      <c r="B12" s="65" t="str">
        <f>Res!B34</f>
        <v>RGGI Revenues**</v>
      </c>
      <c r="C12" s="74"/>
      <c r="D12" s="75">
        <f>LI!D34+Res!D34+CI!D34</f>
        <v>-1615.68091</v>
      </c>
      <c r="E12" s="75">
        <f>LI!E34+Res!E34+CI!E34</f>
        <v>0</v>
      </c>
      <c r="F12" s="75">
        <f>LI!F34+Res!F34+CI!F34</f>
        <v>0</v>
      </c>
      <c r="G12" s="75">
        <f>LI!G34+Res!G34+CI!G34</f>
        <v>-2056.2849200000001</v>
      </c>
      <c r="H12" s="75">
        <f>LI!H34+Res!H34+CI!H34</f>
        <v>0</v>
      </c>
      <c r="I12" s="75">
        <f>LI!I34+Res!I34+CI!I34</f>
        <v>-2946.8798299999999</v>
      </c>
      <c r="J12" s="75">
        <f>LI!J34+Res!J34+CI!J34</f>
        <v>0</v>
      </c>
      <c r="K12" s="75">
        <f>LI!K34+Res!K34+CI!K34</f>
        <v>0</v>
      </c>
      <c r="L12" s="75">
        <f>LI!L34+Res!L34+CI!L34</f>
        <v>0</v>
      </c>
      <c r="M12" s="75">
        <f>LI!M34+Res!M34+CI!M34</f>
        <v>0</v>
      </c>
      <c r="N12" s="75">
        <f>LI!N34+Res!N34+CI!N34</f>
        <v>-2443.3390800000002</v>
      </c>
      <c r="O12" s="75">
        <f>LI!O34+Res!O34+CI!O34</f>
        <v>0</v>
      </c>
      <c r="P12" s="96">
        <f t="shared" si="0"/>
        <v>-9062.1847400000006</v>
      </c>
      <c r="Q12" s="35">
        <v>5</v>
      </c>
      <c r="R12" s="65" t="str">
        <f>Res!R34</f>
        <v>RGGI Revenues**</v>
      </c>
      <c r="S12" s="74"/>
      <c r="T12" s="75">
        <f>LI!T34+Res!T34+CI!T34</f>
        <v>0</v>
      </c>
      <c r="U12" s="75">
        <f>LI!U34+Res!U34+CI!U34</f>
        <v>-2445.8649799999998</v>
      </c>
      <c r="V12" s="75">
        <f>LI!V34+Res!V34+CI!V34</f>
        <v>-2132.0000600000003</v>
      </c>
      <c r="W12" s="75">
        <f>LI!W34+Res!W34+CI!W34</f>
        <v>0</v>
      </c>
      <c r="X12" s="75">
        <f>LI!X34+Res!X34+CI!X34</f>
        <v>-1677.1816700000002</v>
      </c>
      <c r="Y12" s="75">
        <f>LI!Y34+Res!Y34+CI!Y34</f>
        <v>0</v>
      </c>
      <c r="Z12" s="75">
        <f>LI!Z34+Res!Z34+CI!Z34</f>
        <v>0</v>
      </c>
      <c r="AA12" s="75">
        <f>LI!AA34+Res!AA34+CI!AA34</f>
        <v>0</v>
      </c>
      <c r="AB12" s="75">
        <f>LI!AB34+Res!AB34+CI!AB34</f>
        <v>0</v>
      </c>
      <c r="AC12" s="75">
        <f>LI!AC34+Res!AC34+CI!AC34</f>
        <v>-2912.42</v>
      </c>
      <c r="AD12" s="75">
        <f>LI!AD34+Res!AD34+CI!AD34</f>
        <v>0</v>
      </c>
      <c r="AE12" s="75">
        <f>LI!AE34+Res!AE34+CI!AE34</f>
        <v>0</v>
      </c>
      <c r="AF12" s="75">
        <f t="shared" si="1"/>
        <v>-9167.4667100000006</v>
      </c>
      <c r="AG12" s="35">
        <f t="shared" si="3"/>
        <v>4</v>
      </c>
      <c r="AH12" s="65" t="str">
        <f>Res!AH34</f>
        <v>RGGI Revenues**</v>
      </c>
      <c r="AI12" s="74"/>
      <c r="AJ12" s="75">
        <f>LI!AJ34+Res!AJ34+CI!AJ34</f>
        <v>0</v>
      </c>
      <c r="AK12" s="75">
        <f>LI!AK34+Res!AK34+CI!AK34</f>
        <v>0</v>
      </c>
      <c r="AL12" s="75">
        <f>LI!AL34+Res!AL34+CI!AL34</f>
        <v>-1153.8855092437418</v>
      </c>
      <c r="AM12" s="75">
        <f>LI!AM34+Res!AM34+CI!AM34</f>
        <v>0</v>
      </c>
      <c r="AN12" s="75">
        <f>LI!AN34+Res!AN34+CI!AN34</f>
        <v>0</v>
      </c>
      <c r="AO12" s="75">
        <f>LI!AO34+Res!AO34+CI!AO34</f>
        <v>-1153.8855092437418</v>
      </c>
      <c r="AP12" s="75">
        <f>LI!AP34+Res!AP34+CI!AP34</f>
        <v>0</v>
      </c>
      <c r="AQ12" s="75">
        <f>LI!AQ34+Res!AQ34+CI!AQ34</f>
        <v>0</v>
      </c>
      <c r="AR12" s="75">
        <f>LI!AR34+Res!AR34+CI!AR34</f>
        <v>-1153.8855092437418</v>
      </c>
      <c r="AS12" s="75">
        <f>LI!AS34+Res!AS34+CI!AS34</f>
        <v>0</v>
      </c>
      <c r="AT12" s="75">
        <f>LI!AT34+Res!AT34+CI!AT34</f>
        <v>0</v>
      </c>
      <c r="AU12" s="75">
        <f>LI!AU34+Res!AU34+CI!AU34</f>
        <v>-1153.8855092437418</v>
      </c>
      <c r="AV12" s="75">
        <f t="shared" si="2"/>
        <v>-4615.5420369749672</v>
      </c>
    </row>
    <row r="13" spans="1:48" ht="15" x14ac:dyDescent="0.35">
      <c r="A13" s="35">
        <f>Res!A35</f>
        <v>6</v>
      </c>
      <c r="B13" s="65" t="str">
        <f>Res!B35</f>
        <v>Other Revenues***</v>
      </c>
      <c r="C13" s="74"/>
      <c r="D13" s="76">
        <f>LI!D35+Res!D35+CI!D35</f>
        <v>0</v>
      </c>
      <c r="E13" s="76">
        <f>LI!E35+Res!E35+CI!E35</f>
        <v>0</v>
      </c>
      <c r="F13" s="76">
        <f>LI!F35+Res!F35+CI!F35</f>
        <v>0</v>
      </c>
      <c r="G13" s="76">
        <f>LI!G35+Res!G35+CI!G35</f>
        <v>0</v>
      </c>
      <c r="H13" s="76">
        <f>LI!H35+Res!H35+CI!H35</f>
        <v>0</v>
      </c>
      <c r="I13" s="76">
        <f>LI!I35+Res!I35+CI!I35</f>
        <v>0</v>
      </c>
      <c r="J13" s="76">
        <f>LI!J35+Res!J35+CI!J35</f>
        <v>0</v>
      </c>
      <c r="K13" s="76">
        <f>LI!K35+Res!K35+CI!K35</f>
        <v>0</v>
      </c>
      <c r="L13" s="76">
        <f>LI!L35+Res!L35+CI!L35</f>
        <v>-1.3397999999999999</v>
      </c>
      <c r="M13" s="76">
        <f>LI!M35+Res!M35+CI!M35</f>
        <v>0</v>
      </c>
      <c r="N13" s="76">
        <f>LI!N35+Res!N35+CI!N35</f>
        <v>0</v>
      </c>
      <c r="O13" s="76">
        <f>LI!O35+Res!O35+CI!O35</f>
        <v>-1.1172</v>
      </c>
      <c r="P13" s="97">
        <f t="shared" si="0"/>
        <v>-2.4569999999999999</v>
      </c>
      <c r="Q13" s="35">
        <v>6</v>
      </c>
      <c r="R13" s="65" t="str">
        <f>Res!R35</f>
        <v>Other Revenues***</v>
      </c>
      <c r="S13" s="74"/>
      <c r="T13" s="76">
        <f>LI!T35+Res!T35+CI!T35</f>
        <v>0</v>
      </c>
      <c r="U13" s="76">
        <f>LI!U35+Res!U35+CI!U35</f>
        <v>0</v>
      </c>
      <c r="V13" s="76">
        <f>LI!V35+Res!V35+CI!V35</f>
        <v>0</v>
      </c>
      <c r="W13" s="76">
        <f>LI!W35+Res!W35+CI!W35</f>
        <v>-1.5899999999999999</v>
      </c>
      <c r="X13" s="76">
        <f>LI!X35+Res!X35+CI!X35</f>
        <v>0</v>
      </c>
      <c r="Y13" s="76">
        <f>LI!Y35+Res!Y35+CI!Y35</f>
        <v>-1.131</v>
      </c>
      <c r="Z13" s="76">
        <f>LI!Z35+Res!Z35+CI!Z35</f>
        <v>0</v>
      </c>
      <c r="AA13" s="76">
        <f>LI!AA35+Res!AA35+CI!AA35</f>
        <v>-1.8620000000000001</v>
      </c>
      <c r="AB13" s="76">
        <f>LI!AB35+Res!AB35+CI!AB35</f>
        <v>0</v>
      </c>
      <c r="AC13" s="76">
        <f>LI!AC35+Res!AC35+CI!AC35</f>
        <v>0</v>
      </c>
      <c r="AD13" s="76">
        <f>LI!AD35+Res!AD35+CI!AD35</f>
        <v>0</v>
      </c>
      <c r="AE13" s="76">
        <f>LI!AE35+Res!AE35+CI!AE35</f>
        <v>-3.17625</v>
      </c>
      <c r="AF13" s="76">
        <f t="shared" si="1"/>
        <v>-7.7592499999999998</v>
      </c>
      <c r="AG13" s="35">
        <f t="shared" si="3"/>
        <v>5</v>
      </c>
      <c r="AH13" s="65" t="str">
        <f>Res!AH35</f>
        <v>Other Revenues***</v>
      </c>
      <c r="AI13" s="74"/>
      <c r="AJ13" s="76">
        <f>LI!AJ35+Res!AJ35+CI!AJ35</f>
        <v>0</v>
      </c>
      <c r="AK13" s="76">
        <f>LI!AK35+Res!AK35+CI!AK35</f>
        <v>0</v>
      </c>
      <c r="AL13" s="76">
        <f>LI!AL35+Res!AL35+CI!AL35</f>
        <v>-3.17625</v>
      </c>
      <c r="AM13" s="76">
        <f>LI!AM35+Res!AM35+CI!AM35</f>
        <v>0</v>
      </c>
      <c r="AN13" s="76">
        <f>LI!AN35+Res!AN35+CI!AN35</f>
        <v>0</v>
      </c>
      <c r="AO13" s="76">
        <f>LI!AO35+Res!AO35+CI!AO35</f>
        <v>-3.17625</v>
      </c>
      <c r="AP13" s="76">
        <f>LI!AP35+Res!AP35+CI!AP35</f>
        <v>0</v>
      </c>
      <c r="AQ13" s="76">
        <f>LI!AQ35+Res!AQ35+CI!AQ35</f>
        <v>0</v>
      </c>
      <c r="AR13" s="76">
        <f>LI!AR35+Res!AR35+CI!AR35</f>
        <v>-3.17625</v>
      </c>
      <c r="AS13" s="76">
        <f>LI!AS35+Res!AS35+CI!AS35</f>
        <v>0</v>
      </c>
      <c r="AT13" s="76">
        <f>LI!AT35+Res!AT35+CI!AT35</f>
        <v>0</v>
      </c>
      <c r="AU13" s="76">
        <f>LI!AU35+Res!AU35+CI!AU35</f>
        <v>-3.17625</v>
      </c>
      <c r="AV13" s="76">
        <f t="shared" si="2"/>
        <v>-12.705</v>
      </c>
    </row>
    <row r="14" spans="1:48" x14ac:dyDescent="0.2">
      <c r="A14" s="35">
        <f>Res!A36</f>
        <v>7</v>
      </c>
      <c r="B14" s="65" t="str">
        <f>Res!B36</f>
        <v>Total Energy Efficiency Revenues</v>
      </c>
      <c r="C14" s="74"/>
      <c r="D14" s="75">
        <f t="shared" ref="D14:N14" si="4">SUM(D8:D13)</f>
        <v>-1690.6654000000001</v>
      </c>
      <c r="E14" s="75">
        <f t="shared" si="4"/>
        <v>-3162.9197799999997</v>
      </c>
      <c r="F14" s="75">
        <f t="shared" si="4"/>
        <v>-3172.8761</v>
      </c>
      <c r="G14" s="75">
        <f t="shared" si="4"/>
        <v>-5246.74827</v>
      </c>
      <c r="H14" s="75">
        <f t="shared" si="4"/>
        <v>-3155.02378</v>
      </c>
      <c r="I14" s="75">
        <f t="shared" si="4"/>
        <v>-6176.7440099999994</v>
      </c>
      <c r="J14" s="75">
        <f t="shared" si="4"/>
        <v>-3281.6448399999999</v>
      </c>
      <c r="K14" s="75">
        <f t="shared" si="4"/>
        <v>-3299.4285</v>
      </c>
      <c r="L14" s="75">
        <f>SUM(L8:L13)</f>
        <v>-11118.784459999999</v>
      </c>
      <c r="M14" s="75">
        <f t="shared" si="4"/>
        <v>-3024.9453399999998</v>
      </c>
      <c r="N14" s="75">
        <f t="shared" si="4"/>
        <v>-8227.3971500000007</v>
      </c>
      <c r="O14" s="75">
        <f>SUM(O8:O13)</f>
        <v>-10372.114710000003</v>
      </c>
      <c r="P14" s="75">
        <f t="shared" si="0"/>
        <v>-61929.292339999993</v>
      </c>
      <c r="Q14" s="35">
        <v>7</v>
      </c>
      <c r="R14" s="65" t="str">
        <f>Res!R36</f>
        <v>Total Energy Efficiency Revenues</v>
      </c>
      <c r="S14" s="74"/>
      <c r="T14" s="75">
        <f t="shared" ref="T14:AE14" si="5">SUM(T8:T13)</f>
        <v>-155.21151999999995</v>
      </c>
      <c r="U14" s="75">
        <f t="shared" si="5"/>
        <v>-10345.68427</v>
      </c>
      <c r="V14" s="75">
        <f t="shared" si="5"/>
        <v>-10025.768100000001</v>
      </c>
      <c r="W14" s="75">
        <f t="shared" si="5"/>
        <v>-7885.2159300000003</v>
      </c>
      <c r="X14" s="75">
        <f t="shared" si="5"/>
        <v>-9574.6321500000013</v>
      </c>
      <c r="Y14" s="75">
        <f t="shared" si="5"/>
        <v>-7863.3198200000006</v>
      </c>
      <c r="Z14" s="75">
        <f t="shared" si="5"/>
        <v>-7799.0019200000006</v>
      </c>
      <c r="AA14" s="75">
        <f t="shared" si="5"/>
        <v>-5963.2279799999997</v>
      </c>
      <c r="AB14" s="75">
        <f t="shared" si="5"/>
        <v>-5953.6782199999998</v>
      </c>
      <c r="AC14" s="75">
        <f t="shared" si="5"/>
        <v>-8846.2174732227686</v>
      </c>
      <c r="AD14" s="75">
        <f t="shared" si="5"/>
        <v>-5933.7974732227676</v>
      </c>
      <c r="AE14" s="75">
        <f t="shared" si="5"/>
        <v>-11762.419436445534</v>
      </c>
      <c r="AF14" s="75">
        <f>SUM(T14:AE14)</f>
        <v>-92108.174292891097</v>
      </c>
      <c r="AG14" s="35">
        <f t="shared" si="3"/>
        <v>6</v>
      </c>
      <c r="AH14" s="65" t="str">
        <f>Res!AH36</f>
        <v>Total Energy Efficiency Revenues</v>
      </c>
      <c r="AI14" s="74"/>
      <c r="AJ14" s="75">
        <f t="shared" ref="AJ14:AU14" si="6">SUM(AJ8:AJ13)</f>
        <v>-97.711557499999998</v>
      </c>
      <c r="AK14" s="75">
        <f t="shared" si="6"/>
        <v>-6175.2994560419484</v>
      </c>
      <c r="AL14" s="75">
        <f t="shared" si="6"/>
        <v>-7332.3612152856904</v>
      </c>
      <c r="AM14" s="75">
        <f t="shared" si="6"/>
        <v>-6175.2994560419484</v>
      </c>
      <c r="AN14" s="75">
        <f t="shared" si="6"/>
        <v>-6175.2994560419484</v>
      </c>
      <c r="AO14" s="75">
        <f t="shared" si="6"/>
        <v>-7332.3612152856904</v>
      </c>
      <c r="AP14" s="75">
        <f t="shared" si="6"/>
        <v>-6175.2994560419484</v>
      </c>
      <c r="AQ14" s="75">
        <f t="shared" si="6"/>
        <v>-6175.2994560419484</v>
      </c>
      <c r="AR14" s="75">
        <f t="shared" si="6"/>
        <v>-7332.3612152856904</v>
      </c>
      <c r="AS14" s="75">
        <f t="shared" si="6"/>
        <v>-6175.2994560419484</v>
      </c>
      <c r="AT14" s="75">
        <f t="shared" si="6"/>
        <v>-6175.2994560419484</v>
      </c>
      <c r="AU14" s="75">
        <f t="shared" si="6"/>
        <v>-13409.949113827641</v>
      </c>
      <c r="AV14" s="75">
        <f t="shared" si="2"/>
        <v>-78731.840509478337</v>
      </c>
    </row>
    <row r="15" spans="1:48" x14ac:dyDescent="0.2">
      <c r="B15" s="65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35"/>
      <c r="R15" s="65"/>
      <c r="S15" s="74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35"/>
      <c r="AH15" s="65"/>
      <c r="AI15" s="74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</row>
    <row r="16" spans="1:48" x14ac:dyDescent="0.2">
      <c r="B16" s="65"/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35">
        <f>Res!Q38</f>
        <v>8</v>
      </c>
      <c r="R16" s="65" t="str">
        <f>Res!R38</f>
        <v>Energy Efficiency Expenditures - PA Models</v>
      </c>
      <c r="S16" s="74"/>
      <c r="T16" s="75">
        <f>LI!T38+Res!T38+CI!T38</f>
        <v>361.43721999999991</v>
      </c>
      <c r="U16" s="75">
        <f>LI!U38+Res!U38+CI!U38</f>
        <v>1758.4678699999999</v>
      </c>
      <c r="V16" s="75">
        <f>LI!V38+Res!V38+CI!V38</f>
        <v>5288.9380300000003</v>
      </c>
      <c r="W16" s="75">
        <f>LI!W38+Res!W38+CI!W38</f>
        <v>3252.8125599999998</v>
      </c>
      <c r="X16" s="75">
        <f>LI!X38+Res!X38+CI!X38</f>
        <v>6955.7965100000001</v>
      </c>
      <c r="Y16" s="75">
        <f>LI!Y38+Res!Y38+CI!Y38</f>
        <v>1911.52775</v>
      </c>
      <c r="Z16" s="75">
        <f>LI!Z38+Res!Z38+CI!Z38</f>
        <v>6074.8366199999982</v>
      </c>
      <c r="AA16" s="75">
        <f>LI!AA38+Res!AA38+CI!AA38</f>
        <v>6884.1309500000016</v>
      </c>
      <c r="AB16" s="75">
        <f>LI!AB38+Res!AB38+CI!AB38</f>
        <v>2782.1402999999996</v>
      </c>
      <c r="AC16" s="75">
        <f>LI!AC38+Res!AC38+CI!AC38</f>
        <v>12647.131722282717</v>
      </c>
      <c r="AD16" s="75">
        <f>LI!AD38+Res!AD38+CI!AD38</f>
        <v>12647.131722282717</v>
      </c>
      <c r="AE16" s="75">
        <f>LI!AE38+Res!AE38+CI!AE38</f>
        <v>12647.131722282717</v>
      </c>
      <c r="AF16" s="75">
        <f>SUM(T16:AE16)</f>
        <v>73211.482976848158</v>
      </c>
      <c r="AG16" s="35">
        <f>Res!AG38</f>
        <v>7</v>
      </c>
      <c r="AH16" s="65" t="str">
        <f>Res!AH38</f>
        <v>Energy Efficiency Expenditures - PA Models</v>
      </c>
      <c r="AI16" s="74"/>
      <c r="AJ16" s="75">
        <f>LI!AJ38+Res!AJ38+CI!AJ38</f>
        <v>6306.0806509357781</v>
      </c>
      <c r="AK16" s="75">
        <f>LI!AK38+Res!AK38+CI!AK38</f>
        <v>6306.0806509357781</v>
      </c>
      <c r="AL16" s="75">
        <f>LI!AL38+Res!AL38+CI!AL38</f>
        <v>6306.0806509357781</v>
      </c>
      <c r="AM16" s="75">
        <f>LI!AM38+Res!AM38+CI!AM38</f>
        <v>6306.0806509357781</v>
      </c>
      <c r="AN16" s="75">
        <f>LI!AN38+Res!AN38+CI!AN38</f>
        <v>6306.0806509357781</v>
      </c>
      <c r="AO16" s="75">
        <f>LI!AO38+Res!AO38+CI!AO38</f>
        <v>6306.0806509357781</v>
      </c>
      <c r="AP16" s="75">
        <f>LI!AP38+Res!AP38+CI!AP38</f>
        <v>6306.0806509357781</v>
      </c>
      <c r="AQ16" s="75">
        <f>LI!AQ38+Res!AQ38+CI!AQ38</f>
        <v>6306.0806509357781</v>
      </c>
      <c r="AR16" s="75">
        <f>LI!AR38+Res!AR38+CI!AR38</f>
        <v>6306.0806509357781</v>
      </c>
      <c r="AS16" s="75">
        <f>LI!AS38+Res!AS38+CI!AS38</f>
        <v>6306.0806509357781</v>
      </c>
      <c r="AT16" s="75">
        <f>LI!AT38+Res!AT38+CI!AT38</f>
        <v>6306.0806509357781</v>
      </c>
      <c r="AU16" s="75">
        <f>LI!AU38+Res!AU38+CI!AU38</f>
        <v>6306.0806509357781</v>
      </c>
      <c r="AV16" s="75">
        <f>SUM(AJ16:AU16)</f>
        <v>75672.967811229333</v>
      </c>
    </row>
    <row r="17" spans="1:48" ht="15" x14ac:dyDescent="0.35">
      <c r="B17" s="65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35">
        <f>Res!Q39</f>
        <v>9</v>
      </c>
      <c r="R17" s="65" t="str">
        <f>Res!R39</f>
        <v>Energy Efficiency Expenditures - Electrification Pool</v>
      </c>
      <c r="S17" s="74"/>
      <c r="T17" s="76">
        <f>LI!T39+Res!T39+CI!T39</f>
        <v>0</v>
      </c>
      <c r="U17" s="76">
        <f>LI!U39+Res!U39+CI!U39</f>
        <v>0</v>
      </c>
      <c r="V17" s="76">
        <f>LI!V39+Res!V39+CI!V39</f>
        <v>0</v>
      </c>
      <c r="W17" s="76">
        <f>LI!W39+Res!W39+CI!W39</f>
        <v>0</v>
      </c>
      <c r="X17" s="76">
        <f>LI!X39+Res!X39+CI!X39</f>
        <v>0</v>
      </c>
      <c r="Y17" s="76">
        <f>LI!Y39+Res!Y39+CI!Y39</f>
        <v>0</v>
      </c>
      <c r="Z17" s="76">
        <f>LI!Z39+Res!Z39+CI!Z39</f>
        <v>0</v>
      </c>
      <c r="AA17" s="76">
        <f>LI!AA39+Res!AA39+CI!AA39</f>
        <v>915.04885999999999</v>
      </c>
      <c r="AB17" s="76">
        <f>LI!AB39+Res!AB39+CI!AB39</f>
        <v>775.41438999999991</v>
      </c>
      <c r="AC17" s="76">
        <f>LI!AC39+Res!AC39+CI!AC39</f>
        <v>3021.4436370627441</v>
      </c>
      <c r="AD17" s="76">
        <f>LI!AD39+Res!AD39+CI!AD39</f>
        <v>3021.4436370627441</v>
      </c>
      <c r="AE17" s="76">
        <f>LI!AE39+Res!AE39+CI!AE39</f>
        <v>3021.4436370627441</v>
      </c>
      <c r="AF17" s="76">
        <f>SUM(T17:AE17)</f>
        <v>10754.794161188232</v>
      </c>
      <c r="AG17" s="35">
        <f>Res!AG39</f>
        <v>8</v>
      </c>
      <c r="AH17" s="65" t="str">
        <f>Res!AH39</f>
        <v>Energy Efficiency Expenditures - Electrification Pool</v>
      </c>
      <c r="AI17" s="74"/>
      <c r="AJ17" s="76">
        <f>LI!AJ39+Res!AJ39+CI!AJ39</f>
        <v>908.90042183545199</v>
      </c>
      <c r="AK17" s="76">
        <f>LI!AK39+Res!AK39+CI!AK39</f>
        <v>908.90042183545199</v>
      </c>
      <c r="AL17" s="76">
        <f>LI!AL39+Res!AL39+CI!AL39</f>
        <v>908.90042183545199</v>
      </c>
      <c r="AM17" s="76">
        <f>LI!AM39+Res!AM39+CI!AM39</f>
        <v>908.90042183545199</v>
      </c>
      <c r="AN17" s="76">
        <f>LI!AN39+Res!AN39+CI!AN39</f>
        <v>908.90042183545199</v>
      </c>
      <c r="AO17" s="76">
        <f>LI!AO39+Res!AO39+CI!AO39</f>
        <v>908.90042183545199</v>
      </c>
      <c r="AP17" s="76">
        <f>LI!AP39+Res!AP39+CI!AP39</f>
        <v>908.90042183545199</v>
      </c>
      <c r="AQ17" s="76">
        <f>LI!AQ39+Res!AQ39+CI!AQ39</f>
        <v>908.90042183545199</v>
      </c>
      <c r="AR17" s="76">
        <f>LI!AR39+Res!AR39+CI!AR39</f>
        <v>908.90042183545199</v>
      </c>
      <c r="AS17" s="76">
        <f>LI!AS39+Res!AS39+CI!AS39</f>
        <v>908.90042183545199</v>
      </c>
      <c r="AT17" s="76">
        <f>LI!AT39+Res!AT39+CI!AT39</f>
        <v>908.90042183545199</v>
      </c>
      <c r="AU17" s="76">
        <f>LI!AU39+Res!AU39+CI!AU39</f>
        <v>908.90042183545199</v>
      </c>
      <c r="AV17" s="76">
        <f>SUM(AJ17:AU17)</f>
        <v>10906.805062025422</v>
      </c>
    </row>
    <row r="18" spans="1:48" x14ac:dyDescent="0.2">
      <c r="A18" s="35">
        <f>Res!A40</f>
        <v>8</v>
      </c>
      <c r="B18" s="65" t="str">
        <f>Res!B40</f>
        <v>Total Energy Efficiency Expenses</v>
      </c>
      <c r="C18" s="74"/>
      <c r="D18" s="75">
        <f>LI!D40+Res!D40+CI!D40</f>
        <v>117.59887999999999</v>
      </c>
      <c r="E18" s="75">
        <f>LI!E40+Res!E40+CI!E40</f>
        <v>2110.4823900000001</v>
      </c>
      <c r="F18" s="75">
        <f>LI!F40+Res!F40+CI!F40</f>
        <v>7120.2667600000013</v>
      </c>
      <c r="G18" s="75">
        <f>LI!G40+Res!G40+CI!G40</f>
        <v>5641.4601200000016</v>
      </c>
      <c r="H18" s="75">
        <f>LI!H40+Res!H40+CI!H40</f>
        <v>7559.9163899999985</v>
      </c>
      <c r="I18" s="75">
        <f>LI!I40+Res!I40+CI!I40</f>
        <v>5705.7111600000007</v>
      </c>
      <c r="J18" s="75">
        <f>LI!J40+Res!J40+CI!J40</f>
        <v>6781.2755500000003</v>
      </c>
      <c r="K18" s="75">
        <f>LI!K40+Res!K40+CI!K40</f>
        <v>4578.7896500000006</v>
      </c>
      <c r="L18" s="75">
        <f>LI!L40+Res!L40+CI!L40</f>
        <v>1863.76251</v>
      </c>
      <c r="M18" s="75">
        <f>LI!M40+Res!M40+CI!M40</f>
        <v>7736.6617500000011</v>
      </c>
      <c r="N18" s="75">
        <f>LI!N40+Res!N40+CI!N40</f>
        <v>9280.7552099999994</v>
      </c>
      <c r="O18" s="75">
        <f>LI!O40+Res!O40+CI!O40</f>
        <v>23093.251980000005</v>
      </c>
      <c r="P18" s="75">
        <f>SUM(D18:O18)</f>
        <v>81589.932350000003</v>
      </c>
      <c r="Q18" s="35">
        <f>Res!Q40</f>
        <v>10</v>
      </c>
      <c r="R18" s="65" t="str">
        <f>Res!R40</f>
        <v>Total Energy Efficiency Expenses</v>
      </c>
      <c r="S18" s="74"/>
      <c r="T18" s="75">
        <f>LI!T40+Res!T40+CI!T40</f>
        <v>361.43721999999991</v>
      </c>
      <c r="U18" s="75">
        <f>LI!U40+Res!U40+CI!U40</f>
        <v>1758.4678699999999</v>
      </c>
      <c r="V18" s="75">
        <f>LI!V40+Res!V40+CI!V40</f>
        <v>5288.9380300000003</v>
      </c>
      <c r="W18" s="75">
        <f>LI!W40+Res!W40+CI!W40</f>
        <v>3252.8125599999998</v>
      </c>
      <c r="X18" s="75">
        <f>LI!X40+Res!X40+CI!X40</f>
        <v>6955.7965100000001</v>
      </c>
      <c r="Y18" s="75">
        <f>LI!Y40+Res!Y40+CI!Y40</f>
        <v>1911.52775</v>
      </c>
      <c r="Z18" s="75">
        <f>LI!Z40+Res!Z40+CI!Z40</f>
        <v>6074.8366199999982</v>
      </c>
      <c r="AA18" s="75">
        <f>LI!AA40+Res!AA40+CI!AA40</f>
        <v>7799.1798100000005</v>
      </c>
      <c r="AB18" s="75">
        <f>LI!AB40+Res!AB40+CI!AB40</f>
        <v>3557.5546899999999</v>
      </c>
      <c r="AC18" s="75">
        <f>LI!AC40+Res!AC40+CI!AC40</f>
        <v>15668.575359345457</v>
      </c>
      <c r="AD18" s="75">
        <f>LI!AD40+Res!AD40+CI!AD40</f>
        <v>15668.575359345457</v>
      </c>
      <c r="AE18" s="75">
        <f>LI!AE40+Res!AE40+CI!AE40</f>
        <v>15668.575359345457</v>
      </c>
      <c r="AF18" s="75">
        <f>SUM(T18:AE18)</f>
        <v>83966.27713803637</v>
      </c>
      <c r="AG18" s="35">
        <f>Res!AG40</f>
        <v>9</v>
      </c>
      <c r="AH18" s="65" t="str">
        <f>Res!AH40</f>
        <v>Total Energy Efficiency Expenses</v>
      </c>
      <c r="AI18" s="74"/>
      <c r="AJ18" s="75">
        <f>LI!AJ40+Res!AJ40+CI!AJ40</f>
        <v>7214.9810727712302</v>
      </c>
      <c r="AK18" s="75">
        <f>LI!AK40+Res!AK40+CI!AK40</f>
        <v>7214.9810727712302</v>
      </c>
      <c r="AL18" s="75">
        <f>LI!AL40+Res!AL40+CI!AL40</f>
        <v>7214.9810727712302</v>
      </c>
      <c r="AM18" s="75">
        <f>LI!AM40+Res!AM40+CI!AM40</f>
        <v>7214.9810727712302</v>
      </c>
      <c r="AN18" s="75">
        <f>LI!AN40+Res!AN40+CI!AN40</f>
        <v>7214.9810727712302</v>
      </c>
      <c r="AO18" s="75">
        <f>LI!AO40+Res!AO40+CI!AO40</f>
        <v>7214.9810727712302</v>
      </c>
      <c r="AP18" s="75">
        <f>LI!AP40+Res!AP40+CI!AP40</f>
        <v>7214.9810727712302</v>
      </c>
      <c r="AQ18" s="75">
        <f>LI!AQ40+Res!AQ40+CI!AQ40</f>
        <v>7214.9810727712302</v>
      </c>
      <c r="AR18" s="75">
        <f>LI!AR40+Res!AR40+CI!AR40</f>
        <v>7214.9810727712302</v>
      </c>
      <c r="AS18" s="75">
        <f>LI!AS40+Res!AS40+CI!AS40</f>
        <v>7214.9810727712302</v>
      </c>
      <c r="AT18" s="75">
        <f>LI!AT40+Res!AT40+CI!AT40</f>
        <v>7214.9810727712302</v>
      </c>
      <c r="AU18" s="75">
        <f>LI!AU40+Res!AU40+CI!AU40</f>
        <v>7214.9810727712302</v>
      </c>
      <c r="AV18" s="75">
        <f t="shared" si="2"/>
        <v>86579.772873254769</v>
      </c>
    </row>
    <row r="19" spans="1:48" x14ac:dyDescent="0.2">
      <c r="B19" s="65"/>
      <c r="C19" s="74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35"/>
      <c r="R19" s="65"/>
      <c r="S19" s="74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35"/>
      <c r="AH19" s="65"/>
      <c r="AI19" s="74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</row>
    <row r="20" spans="1:48" ht="15" x14ac:dyDescent="0.35">
      <c r="A20" s="35">
        <f>Res!A42</f>
        <v>9</v>
      </c>
      <c r="B20" s="65" t="str">
        <f>Res!B42</f>
        <v>Deferral (Over)/Under Recovery</v>
      </c>
      <c r="C20" s="75"/>
      <c r="D20" s="75">
        <f t="shared" ref="D20:O20" si="7">D14+D18</f>
        <v>-1573.0665200000001</v>
      </c>
      <c r="E20" s="75">
        <f t="shared" si="7"/>
        <v>-1052.4373899999996</v>
      </c>
      <c r="F20" s="75">
        <f t="shared" si="7"/>
        <v>3947.3906600000014</v>
      </c>
      <c r="G20" s="75">
        <f t="shared" si="7"/>
        <v>394.7118500000015</v>
      </c>
      <c r="H20" s="75">
        <f t="shared" si="7"/>
        <v>4404.892609999999</v>
      </c>
      <c r="I20" s="75">
        <f t="shared" si="7"/>
        <v>-471.03284999999869</v>
      </c>
      <c r="J20" s="75">
        <f t="shared" si="7"/>
        <v>3499.6307100000004</v>
      </c>
      <c r="K20" s="75">
        <f t="shared" si="7"/>
        <v>1279.3611500000006</v>
      </c>
      <c r="L20" s="75">
        <f t="shared" si="7"/>
        <v>-9255.0219499999985</v>
      </c>
      <c r="M20" s="75">
        <f t="shared" si="7"/>
        <v>4711.7164100000009</v>
      </c>
      <c r="N20" s="75">
        <f t="shared" si="7"/>
        <v>1053.3580599999987</v>
      </c>
      <c r="O20" s="75">
        <f t="shared" si="7"/>
        <v>12721.137270000001</v>
      </c>
      <c r="P20" s="76"/>
      <c r="Q20" s="35">
        <f>Res!Q42</f>
        <v>11</v>
      </c>
      <c r="R20" s="65" t="str">
        <f>Res!R42</f>
        <v>Deferral (Over)/Under Recovery</v>
      </c>
      <c r="S20" s="75"/>
      <c r="T20" s="75">
        <f t="shared" ref="T20:AE20" si="8">T14+T18</f>
        <v>206.22569999999996</v>
      </c>
      <c r="U20" s="75">
        <f t="shared" si="8"/>
        <v>-8587.2163999999993</v>
      </c>
      <c r="V20" s="75">
        <f t="shared" si="8"/>
        <v>-4736.8300700000009</v>
      </c>
      <c r="W20" s="75">
        <f t="shared" si="8"/>
        <v>-4632.40337</v>
      </c>
      <c r="X20" s="75">
        <f t="shared" si="8"/>
        <v>-2618.8356400000011</v>
      </c>
      <c r="Y20" s="75">
        <f t="shared" si="8"/>
        <v>-5951.7920700000004</v>
      </c>
      <c r="Z20" s="75">
        <f t="shared" si="8"/>
        <v>-1724.1653000000024</v>
      </c>
      <c r="AA20" s="75">
        <f t="shared" si="8"/>
        <v>1835.9518300000009</v>
      </c>
      <c r="AB20" s="75">
        <f t="shared" si="8"/>
        <v>-2396.1235299999998</v>
      </c>
      <c r="AC20" s="75">
        <f t="shared" si="8"/>
        <v>6822.3578861226888</v>
      </c>
      <c r="AD20" s="75">
        <f t="shared" si="8"/>
        <v>9734.7778861226907</v>
      </c>
      <c r="AE20" s="75">
        <f t="shared" si="8"/>
        <v>3906.1559228999231</v>
      </c>
      <c r="AF20" s="76"/>
      <c r="AG20" s="35">
        <f>Res!AG42</f>
        <v>10</v>
      </c>
      <c r="AH20" s="65" t="str">
        <f>Res!AH42</f>
        <v>Deferral (Over)/Under Recovery</v>
      </c>
      <c r="AI20" s="75"/>
      <c r="AJ20" s="75">
        <f t="shared" ref="AJ20:AU20" si="9">AJ14+AJ18</f>
        <v>7117.2695152712304</v>
      </c>
      <c r="AK20" s="75">
        <f t="shared" si="9"/>
        <v>1039.6816167292818</v>
      </c>
      <c r="AL20" s="75">
        <f t="shared" si="9"/>
        <v>-117.3801425144602</v>
      </c>
      <c r="AM20" s="75">
        <f t="shared" si="9"/>
        <v>1039.6816167292818</v>
      </c>
      <c r="AN20" s="75">
        <f t="shared" si="9"/>
        <v>1039.6816167292818</v>
      </c>
      <c r="AO20" s="75">
        <f t="shared" si="9"/>
        <v>-117.3801425144602</v>
      </c>
      <c r="AP20" s="75">
        <f t="shared" si="9"/>
        <v>1039.6816167292818</v>
      </c>
      <c r="AQ20" s="75">
        <f t="shared" si="9"/>
        <v>1039.6816167292818</v>
      </c>
      <c r="AR20" s="75">
        <f t="shared" si="9"/>
        <v>-117.3801425144602</v>
      </c>
      <c r="AS20" s="75">
        <f t="shared" si="9"/>
        <v>1039.6816167292818</v>
      </c>
      <c r="AT20" s="75">
        <f t="shared" si="9"/>
        <v>1039.6816167292818</v>
      </c>
      <c r="AU20" s="75">
        <f t="shared" si="9"/>
        <v>-6194.9680410564106</v>
      </c>
      <c r="AV20" s="76"/>
    </row>
    <row r="21" spans="1:48" ht="15" x14ac:dyDescent="0.35">
      <c r="A21" s="35">
        <f>Res!A43</f>
        <v>10</v>
      </c>
      <c r="B21" s="65" t="str">
        <f>Res!B43</f>
        <v>Interest on Deferral Balance</v>
      </c>
      <c r="C21" s="74"/>
      <c r="D21" s="97">
        <f>LI!D43+Res!D43+CI!D43</f>
        <v>-108.57911999999999</v>
      </c>
      <c r="E21" s="97">
        <f>LI!E43+Res!E43+CI!E43</f>
        <v>-79.273649999999989</v>
      </c>
      <c r="F21" s="97">
        <f>LI!F43+Res!F43+CI!F43</f>
        <v>-74.314679999999981</v>
      </c>
      <c r="G21" s="97">
        <f>LI!G43+Res!G43+CI!G43</f>
        <v>-62.761629999999997</v>
      </c>
      <c r="H21" s="97">
        <f>LI!H43+Res!H43+CI!H43</f>
        <v>-63.651110000000003</v>
      </c>
      <c r="I21" s="97">
        <f>LI!I43+Res!I43+CI!I43</f>
        <v>-60.541479999999993</v>
      </c>
      <c r="J21" s="97">
        <f>LI!J43+Res!J43+CI!J43</f>
        <v>-43.472819999999999</v>
      </c>
      <c r="K21" s="97">
        <f>LI!K43+Res!K43+CI!K43</f>
        <v>-34.504679999999993</v>
      </c>
      <c r="L21" s="97">
        <f>LI!L43+Res!L43+CI!L43</f>
        <v>-39.737769999999998</v>
      </c>
      <c r="M21" s="97">
        <f>LI!M43+Res!M43+CI!M43</f>
        <v>-39.585239999999999</v>
      </c>
      <c r="N21" s="97">
        <f>LI!N43+Res!N43+CI!N43</f>
        <v>-35.754320000000007</v>
      </c>
      <c r="O21" s="97">
        <f>LI!O43+Res!O43+CI!O43</f>
        <v>-24.50855</v>
      </c>
      <c r="P21" s="97">
        <f>SUM(D21:O21)</f>
        <v>-666.68504999999982</v>
      </c>
      <c r="Q21" s="35">
        <f>Res!Q43</f>
        <v>12</v>
      </c>
      <c r="R21" s="65" t="str">
        <f>Res!R43</f>
        <v>Interest on Deferral Balance</v>
      </c>
      <c r="S21" s="74"/>
      <c r="T21" s="97">
        <f>LI!T43+Res!T43+CI!T43</f>
        <v>-79.139120000000005</v>
      </c>
      <c r="U21" s="97">
        <f>LI!U43+Res!U43+CI!U43</f>
        <v>-42.490360000000003</v>
      </c>
      <c r="V21" s="97">
        <f>LI!V43+Res!V43+CI!V43</f>
        <v>-53.743740000000003</v>
      </c>
      <c r="W21" s="98">
        <f>LI!W43+Res!W43+CI!W43</f>
        <v>-58.918520000000001</v>
      </c>
      <c r="X21" s="98">
        <f>LI!X43+Res!X43+CI!X43</f>
        <v>-66.291089999999997</v>
      </c>
      <c r="Y21" s="98">
        <f>LI!Y43+Res!Y43+CI!Y43</f>
        <v>-71.905180000000001</v>
      </c>
      <c r="Z21" s="98">
        <f>LI!Z43+Res!Z43+CI!Z43</f>
        <v>-83.754300000000001</v>
      </c>
      <c r="AA21" s="98">
        <f>LI!AA43+Res!AA43+CI!AA43</f>
        <v>-84.00660000000002</v>
      </c>
      <c r="AB21" s="98">
        <f>LI!AB43+Res!AB43+CI!AB43</f>
        <v>-65.464230000000015</v>
      </c>
      <c r="AC21" s="98">
        <f>LI!AC43+Res!AC43+CI!AC43</f>
        <v>-72.66513936102227</v>
      </c>
      <c r="AD21" s="98">
        <f>LI!AD43+Res!AD43+CI!AD43</f>
        <v>-48.640079652447831</v>
      </c>
      <c r="AE21" s="98">
        <f>LI!AE43+Res!AE43+CI!AE43</f>
        <v>-28.813675559666613</v>
      </c>
      <c r="AF21" s="97">
        <f>SUM(T21:AE21)</f>
        <v>-755.83203457313687</v>
      </c>
      <c r="AG21" s="35">
        <f>Res!AG43</f>
        <v>11</v>
      </c>
      <c r="AH21" s="65" t="str">
        <f>Res!AH43</f>
        <v>Interest on Deferral Balance</v>
      </c>
      <c r="AI21" s="74"/>
      <c r="AJ21" s="97">
        <f>LI!AJ43+Res!AJ43+CI!AJ43</f>
        <v>-12.760965582232423</v>
      </c>
      <c r="AK21" s="97">
        <f>LI!AK43+Res!AK43+CI!AK43</f>
        <v>-0.85745672434187714</v>
      </c>
      <c r="AL21" s="97">
        <f>LI!AL43+Res!AL43+CI!AL43</f>
        <v>0.49017971322410681</v>
      </c>
      <c r="AM21" s="98">
        <f>LI!AM43+Res!AM43+CI!AM43</f>
        <v>1.8417617308045182</v>
      </c>
      <c r="AN21" s="98">
        <f>LI!AN43+Res!AN43+CI!AN43</f>
        <v>4.8911107332959922</v>
      </c>
      <c r="AO21" s="98">
        <f>LI!AO43+Res!AO43+CI!AO43</f>
        <v>6.2555776989185041</v>
      </c>
      <c r="AP21" s="98">
        <f>LI!AP43+Res!AP43+CI!AP43</f>
        <v>7.6240395206014773</v>
      </c>
      <c r="AQ21" s="98">
        <f>LI!AQ43+Res!AQ43+CI!AQ43</f>
        <v>10.690317747510855</v>
      </c>
      <c r="AR21" s="98">
        <f>LI!AR43+Res!AR43+CI!AR43</f>
        <v>12.071763502558317</v>
      </c>
      <c r="AS21" s="98">
        <f>LI!AS43+Res!AS43+CI!AS43</f>
        <v>13.457253823788616</v>
      </c>
      <c r="AT21" s="98">
        <f>LI!AT43+Res!AT43+CI!AT43</f>
        <v>16.540610405907881</v>
      </c>
      <c r="AU21" s="98">
        <f>LI!AU43+Res!AU43+CI!AU43</f>
        <v>9.0422711218729681</v>
      </c>
      <c r="AV21" s="97">
        <f>SUM(AJ21:AU21)</f>
        <v>69.286463691908949</v>
      </c>
    </row>
    <row r="22" spans="1:48" ht="15" x14ac:dyDescent="0.35">
      <c r="A22" s="35">
        <f>Res!A44</f>
        <v>11</v>
      </c>
      <c r="B22" s="65" t="str">
        <f>Res!B44</f>
        <v>(Over)/Under Ending Balance</v>
      </c>
      <c r="C22" s="77">
        <f>LI!C44+Res!C44+CI!C44</f>
        <v>-18013.444598040496</v>
      </c>
      <c r="D22" s="77">
        <f>LI!D44+Res!D44+CI!D44</f>
        <v>-19695.090238040495</v>
      </c>
      <c r="E22" s="77">
        <f>LI!E44+Res!E44+CI!E44</f>
        <v>-20826.801278040497</v>
      </c>
      <c r="F22" s="77">
        <f>LI!F44+Res!F44+CI!F44</f>
        <v>-16953.725298040496</v>
      </c>
      <c r="G22" s="77">
        <f>LI!G44+Res!G44+CI!G44</f>
        <v>-16621.775078040493</v>
      </c>
      <c r="H22" s="77">
        <f>LI!H44+Res!H44+CI!H44</f>
        <v>-12280.533578040495</v>
      </c>
      <c r="I22" s="77">
        <f>LI!I44+Res!I44+CI!I44</f>
        <v>-12812.107908040492</v>
      </c>
      <c r="J22" s="77">
        <f>LI!J44+Res!J44+CI!J44</f>
        <v>-9355.9500180404939</v>
      </c>
      <c r="K22" s="77">
        <f>LI!K44+Res!K44+CI!K44</f>
        <v>-8111.0935480404951</v>
      </c>
      <c r="L22" s="77">
        <f>LI!L44+Res!L44+CI!L44</f>
        <v>-17405.853268040497</v>
      </c>
      <c r="M22" s="77">
        <f>LI!M44+Res!M44+CI!M44</f>
        <v>-12733.722098040496</v>
      </c>
      <c r="N22" s="77">
        <f>LI!N44+Res!N44+CI!N44</f>
        <v>-11716.118358040498</v>
      </c>
      <c r="O22" s="77">
        <f>LI!O44+Res!O44+CI!O44</f>
        <v>980.51036195950564</v>
      </c>
      <c r="P22" s="77"/>
      <c r="Q22" s="35">
        <f>Res!Q44</f>
        <v>13</v>
      </c>
      <c r="R22" s="65" t="str">
        <f>Res!R44</f>
        <v>(Over)/Under Ending Balance</v>
      </c>
      <c r="S22" s="77">
        <f>LI!S44+Res!S44+CI!S44</f>
        <v>980.51036195950564</v>
      </c>
      <c r="T22" s="77">
        <f t="shared" ref="T22:AD22" si="10">S22+T20+T21</f>
        <v>1107.5969419595056</v>
      </c>
      <c r="U22" s="77">
        <f t="shared" si="10"/>
        <v>-7522.1098180404933</v>
      </c>
      <c r="V22" s="77">
        <f t="shared" si="10"/>
        <v>-12312.683628040495</v>
      </c>
      <c r="W22" s="77">
        <f t="shared" si="10"/>
        <v>-17004.005518040496</v>
      </c>
      <c r="X22" s="77">
        <f t="shared" si="10"/>
        <v>-19689.132248040496</v>
      </c>
      <c r="Y22" s="77">
        <f t="shared" si="10"/>
        <v>-25712.829498040497</v>
      </c>
      <c r="Z22" s="77">
        <f t="shared" si="10"/>
        <v>-27520.749098040498</v>
      </c>
      <c r="AA22" s="77">
        <f t="shared" si="10"/>
        <v>-25768.803868040497</v>
      </c>
      <c r="AB22" s="77">
        <f t="shared" si="10"/>
        <v>-28230.391628040499</v>
      </c>
      <c r="AC22" s="77">
        <f t="shared" si="10"/>
        <v>-21480.698881278833</v>
      </c>
      <c r="AD22" s="77">
        <f t="shared" si="10"/>
        <v>-11794.561074808591</v>
      </c>
      <c r="AE22" s="77">
        <f>AD22+AE20+AE21</f>
        <v>-7917.2188274683349</v>
      </c>
      <c r="AF22" s="77"/>
      <c r="AG22" s="35">
        <f>Res!AG44</f>
        <v>12</v>
      </c>
      <c r="AH22" s="65" t="str">
        <f>Res!AH44</f>
        <v>(Over)/Under Ending Balance</v>
      </c>
      <c r="AI22" s="77">
        <f>LI!AI44+Res!AI44+CI!AI44</f>
        <v>-7917.2188274683213</v>
      </c>
      <c r="AJ22" s="77">
        <f>AI22+AJ20+AJ21</f>
        <v>-812.71027777932329</v>
      </c>
      <c r="AK22" s="77">
        <f t="shared" ref="AK22:AS22" si="11">AJ22+AK20+AK21</f>
        <v>226.11388222561663</v>
      </c>
      <c r="AL22" s="77">
        <f t="shared" si="11"/>
        <v>109.22391942438054</v>
      </c>
      <c r="AM22" s="77">
        <f t="shared" si="11"/>
        <v>1150.7472978844669</v>
      </c>
      <c r="AN22" s="77">
        <f t="shared" si="11"/>
        <v>2195.320025347045</v>
      </c>
      <c r="AO22" s="77">
        <f t="shared" si="11"/>
        <v>2084.1954605315032</v>
      </c>
      <c r="AP22" s="77">
        <f t="shared" si="11"/>
        <v>3131.5011167813864</v>
      </c>
      <c r="AQ22" s="77">
        <f>AP22+AQ20+AQ21</f>
        <v>4181.8730512581787</v>
      </c>
      <c r="AR22" s="77">
        <f t="shared" si="11"/>
        <v>4076.564672246277</v>
      </c>
      <c r="AS22" s="77">
        <f t="shared" si="11"/>
        <v>5129.7035427993478</v>
      </c>
      <c r="AT22" s="77">
        <f>AS22+AT20+AT21</f>
        <v>6185.9257699345371</v>
      </c>
      <c r="AU22" s="77">
        <f>AT22+AU20+AU21</f>
        <v>-4.8672177399566863E-13</v>
      </c>
      <c r="AV22" s="77"/>
    </row>
    <row r="23" spans="1:48" x14ac:dyDescent="0.2">
      <c r="B23" s="81"/>
      <c r="C23" s="80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0"/>
      <c r="Q23" s="35"/>
      <c r="R23" s="81"/>
      <c r="S23" s="80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0"/>
      <c r="AG23" s="35"/>
      <c r="AH23" s="81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80"/>
    </row>
    <row r="24" spans="1:48" x14ac:dyDescent="0.2">
      <c r="B24" s="12" t="str">
        <f>Res!B47</f>
        <v>*Sector portion of revenues are allocated based on forecasted 2024 kWh sales.</v>
      </c>
      <c r="C24" s="80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100"/>
      <c r="O24" s="82"/>
      <c r="P24" s="80"/>
      <c r="Q24" s="35"/>
      <c r="R24" s="12" t="str">
        <f>Res!R47</f>
        <v>*Sector portion of revenues are allocated based on forecasted 2025 kWh sales.</v>
      </c>
      <c r="S24" s="80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0"/>
      <c r="AG24" s="35"/>
      <c r="AH24" s="12" t="str">
        <f>Res!AH47</f>
        <v>*Sector portion of revenues are allocated based on forecasted 2026 kWh sales.</v>
      </c>
      <c r="AI24" s="80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0"/>
    </row>
    <row r="25" spans="1:48" x14ac:dyDescent="0.2">
      <c r="B25" s="12" t="str">
        <f>Res!B48</f>
        <v>**Sector portion of revenues are allocated based on greenhouse gas reductions.</v>
      </c>
      <c r="C25" s="80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100"/>
      <c r="O25" s="82"/>
      <c r="P25" s="80"/>
      <c r="Q25" s="35"/>
      <c r="R25" s="12" t="str">
        <f>Res!R48</f>
        <v>**Sector portion of revenues are allocated based on greenhouse gas reductions.</v>
      </c>
      <c r="S25" s="80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0"/>
      <c r="AG25" s="35"/>
      <c r="AH25" s="12" t="str">
        <f>Res!AH48</f>
        <v>**Sector portion of revenues are allocated based on greenhouse gas reductions.</v>
      </c>
      <c r="AI25" s="80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0"/>
    </row>
    <row r="26" spans="1:48" x14ac:dyDescent="0.2">
      <c r="B26" s="12" t="str">
        <f>Res!B49</f>
        <v>***Other Revenue represents any RPS and APS credits associated with CVEO participants.</v>
      </c>
      <c r="C26" s="80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0"/>
      <c r="Q26" s="35"/>
      <c r="R26" s="12" t="str">
        <f>Res!R49</f>
        <v>***Other Revenue represents any RPS and APS credits associated with CVEO participants.</v>
      </c>
      <c r="S26" s="80"/>
      <c r="T26" s="85"/>
      <c r="U26" s="85"/>
      <c r="V26" s="85"/>
      <c r="W26" s="85"/>
      <c r="X26" s="85"/>
      <c r="Y26" s="85"/>
      <c r="Z26" s="85"/>
      <c r="AA26" s="101"/>
      <c r="AB26" s="85"/>
      <c r="AC26" s="85"/>
      <c r="AD26" s="85"/>
      <c r="AE26" s="85"/>
      <c r="AF26" s="80"/>
      <c r="AG26" s="35"/>
      <c r="AH26" s="12" t="str">
        <f>Res!AH49</f>
        <v>***Other Revenue represents any RPS and APS credits associated with CVEO participants.</v>
      </c>
      <c r="AI26" s="80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0"/>
    </row>
    <row r="27" spans="1:48" x14ac:dyDescent="0.2">
      <c r="T27" s="43"/>
      <c r="U27" s="43"/>
      <c r="V27" s="43"/>
      <c r="W27" s="43"/>
      <c r="X27" s="43"/>
      <c r="Y27" s="43"/>
      <c r="Z27" s="43"/>
      <c r="AA27" s="59"/>
      <c r="AB27" s="59"/>
      <c r="AC27" s="43"/>
      <c r="AD27" s="43"/>
      <c r="AE27" s="43"/>
      <c r="AF27" s="74"/>
    </row>
    <row r="28" spans="1:48" x14ac:dyDescent="0.2">
      <c r="K28" s="68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68"/>
    </row>
    <row r="29" spans="1:48" x14ac:dyDescent="0.2">
      <c r="G29" s="68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48" x14ac:dyDescent="0.2"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</sheetData>
  <mergeCells count="9">
    <mergeCell ref="A3:P3"/>
    <mergeCell ref="Q3:AF3"/>
    <mergeCell ref="AG3:AV3"/>
    <mergeCell ref="A1:P1"/>
    <mergeCell ref="Q1:AF1"/>
    <mergeCell ref="AG1:AV1"/>
    <mergeCell ref="A2:P2"/>
    <mergeCell ref="Q2:AF2"/>
    <mergeCell ref="AG2:AV2"/>
  </mergeCells>
  <pageMargins left="0.7" right="0.7" top="0.75" bottom="0.75" header="0.3" footer="0.3"/>
  <pageSetup scale="44" orientation="landscape" r:id="rId1"/>
  <headerFooter>
    <oddHeader>&amp;R&amp;"Arial,Regular"&amp;10Cape Light Compact JPE
D.P.U. 25-154
Exhibit 2, EES Calculation
October 31, 2025
Page &amp;P of &amp;N</oddHeader>
  </headerFooter>
  <colBreaks count="2" manualBreakCount="2">
    <brk id="16" max="21" man="1"/>
    <brk id="32" max="2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6383467D24D419A9E3D7EDD6A6740" ma:contentTypeVersion="23" ma:contentTypeDescription="Create a new document." ma:contentTypeScope="" ma:versionID="088653c3ef97afb39a99ebce3ef1e255">
  <xsd:schema xmlns:xsd="http://www.w3.org/2001/XMLSchema" xmlns:xs="http://www.w3.org/2001/XMLSchema" xmlns:p="http://schemas.microsoft.com/office/2006/metadata/properties" xmlns:ns2="c20a850e-c062-459c-a12a-d2c0275d2d50" xmlns:ns3="b6fb2d50-eb25-4da7-9061-3663c5911224" targetNamespace="http://schemas.microsoft.com/office/2006/metadata/properties" ma:root="true" ma:fieldsID="7e313c1a6b0f4c02c227e7449e41b59c" ns2:_="" ns3:_="">
    <xsd:import namespace="c20a850e-c062-459c-a12a-d2c0275d2d50"/>
    <xsd:import namespace="b6fb2d50-eb25-4da7-9061-3663c5911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ateTime" minOccurs="0"/>
                <xsd:element ref="ns2:lcf76f155ced4ddcb4097134ff3c332f" minOccurs="0"/>
                <xsd:element ref="ns3:TaxCatchAll" minOccurs="0"/>
                <xsd:element ref="ns2:Category" minOccurs="0"/>
                <xsd:element ref="ns2:MediaServiceObjectDetectorVersions" minOccurs="0"/>
                <xsd:element ref="ns2:MediaServiceSearchProperties" minOccurs="0"/>
                <xsd:element ref="ns2:Date_x002d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a850e-c062-459c-a12a-d2c0275d2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Time" ma:index="20" nillable="true" ma:displayName="Date &amp; Time" ma:format="DateTime" ma:internalName="Date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7c7d9e-f5e4-4134-85ad-bb804a784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y" ma:index="24" nillable="true" ma:displayName="Category" ma:format="Dropdown" ma:internalName="Categor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mportant"/>
                        <xsd:enumeration value="Follow Up"/>
                        <xsd:enumeration value="Oth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_x002d_Time" ma:index="27" nillable="true" ma:displayName="Date-Time" ma:format="DateTime" ma:internalName="Date_x002d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b2d50-eb25-4da7-9061-3663c5911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5d9449e-aab7-408b-b5b3-255fb79e96fc}" ma:internalName="TaxCatchAll" ma:showField="CatchAllData" ma:web="b6fb2d50-eb25-4da7-9061-3663c59112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0a850e-c062-459c-a12a-d2c0275d2d50">
      <Terms xmlns="http://schemas.microsoft.com/office/infopath/2007/PartnerControls"/>
    </lcf76f155ced4ddcb4097134ff3c332f>
    <Category xmlns="c20a850e-c062-459c-a12a-d2c0275d2d50" xsi:nil="true"/>
    <Date_x002d_Time xmlns="c20a850e-c062-459c-a12a-d2c0275d2d50" xsi:nil="true"/>
    <TaxCatchAll xmlns="b6fb2d50-eb25-4da7-9061-3663c5911224" xsi:nil="true"/>
    <DateTime xmlns="c20a850e-c062-459c-a12a-d2c0275d2d50" xsi:nil="true"/>
  </documentManagement>
</p:properties>
</file>

<file path=customXml/itemProps1.xml><?xml version="1.0" encoding="utf-8"?>
<ds:datastoreItem xmlns:ds="http://schemas.openxmlformats.org/officeDocument/2006/customXml" ds:itemID="{50BCD175-BCA5-4D80-B955-801132889ED6}"/>
</file>

<file path=customXml/itemProps2.xml><?xml version="1.0" encoding="utf-8"?>
<ds:datastoreItem xmlns:ds="http://schemas.openxmlformats.org/officeDocument/2006/customXml" ds:itemID="{077BF576-D909-403F-B8A2-9D6E5ACE503F}"/>
</file>

<file path=customXml/itemProps3.xml><?xml version="1.0" encoding="utf-8"?>
<ds:datastoreItem xmlns:ds="http://schemas.openxmlformats.org/officeDocument/2006/customXml" ds:itemID="{5EF6013B-E500-4450-9308-AAE28BAE0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Rates</vt:lpstr>
      <vt:lpstr>Res</vt:lpstr>
      <vt:lpstr>LI</vt:lpstr>
      <vt:lpstr>CI</vt:lpstr>
      <vt:lpstr>Total</vt:lpstr>
      <vt:lpstr>CI!Print_Area</vt:lpstr>
      <vt:lpstr>LI!Print_Area</vt:lpstr>
      <vt:lpstr>Rates!Print_Area</vt:lpstr>
      <vt:lpstr>Res!Print_Area</vt:lpstr>
      <vt:lpstr>Total!Print_Area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emalone@synapse-energy.com</dc:creator>
  <cp:lastModifiedBy>emalone@synapse-energy.com</cp:lastModifiedBy>
  <dcterms:created xsi:type="dcterms:W3CDTF">2025-10-29T20:06:38Z</dcterms:created>
  <dcterms:modified xsi:type="dcterms:W3CDTF">2025-10-29T20:10:45Z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0x0101006916383467D24D419A9E3D7EDD6A6740</vt:lpwstr>
  </property>
</Properties>
</file>